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430" tabRatio="982" activeTab="5"/>
  </bookViews>
  <sheets>
    <sheet name="总封面" sheetId="1" r:id="rId1"/>
    <sheet name="总目录" sheetId="2" r:id="rId2"/>
    <sheet name="公共预算封面" sheetId="3" r:id="rId3"/>
    <sheet name="公共预算目录" sheetId="4" r:id="rId4"/>
    <sheet name="表一2023年收入预算（分单位） (8%)" sheetId="38" r:id="rId5"/>
    <sheet name="表二2023年公共预算支出表 （项级）" sheetId="6" r:id="rId6"/>
    <sheet name="表三2023年公共预算经济分类执行情况" sheetId="7" r:id="rId7"/>
    <sheet name="表四2024年收入预算 " sheetId="39" r:id="rId8"/>
    <sheet name="表五2024年预算支出情况（项级）" sheetId="9" r:id="rId9"/>
    <sheet name="表六2024年一般公共预算经济分类支出表 (2)" sheetId="40" r:id="rId10"/>
    <sheet name="表七基本支出经济分类 " sheetId="41" r:id="rId11"/>
    <sheet name="表八三保支出预算情况表  " sheetId="42" r:id="rId12"/>
    <sheet name="表九三保支出预算财力安排情况表 " sheetId="43" r:id="rId13"/>
    <sheet name="政府性基金预算封面" sheetId="14" r:id="rId14"/>
    <sheet name="基金目录" sheetId="15" r:id="rId15"/>
    <sheet name="表一2023年基金收入预算" sheetId="16" r:id="rId16"/>
    <sheet name="表二2023年基金支出预算" sheetId="17" r:id="rId17"/>
    <sheet name="表三2024年基金收入预算" sheetId="18" r:id="rId18"/>
    <sheet name="表四2024年基金支出预算" sheetId="33" r:id="rId19"/>
    <sheet name="国有资本经营预算封面" sheetId="20" r:id="rId20"/>
    <sheet name="2023国有资经营预算目录" sheetId="21" r:id="rId21"/>
    <sheet name="表一2024国有资本经营预算收支总表" sheetId="22" r:id="rId22"/>
    <sheet name="表二2024国有资本经营预算收入表" sheetId="23" r:id="rId23"/>
    <sheet name="表三2024国有资本经营预算支出表" sheetId="24" r:id="rId24"/>
    <sheet name="表四2024国有资本经营预算支出项目表" sheetId="25" r:id="rId25"/>
    <sheet name="表五2024年国有资本经营预算补充表" sheetId="26" r:id="rId26"/>
    <sheet name="社保基金封面" sheetId="27" r:id="rId27"/>
    <sheet name="社保基金目录" sheetId="28" r:id="rId28"/>
    <sheet name="表一预算总表" sheetId="29" r:id="rId29"/>
    <sheet name="表二居民养老保险" sheetId="30" r:id="rId30"/>
    <sheet name="表三机关事业社会养老保险基金预算表" sheetId="31" r:id="rId31"/>
    <sheet name="表四社保基金基础表 " sheetId="35" r:id="rId32"/>
  </sheets>
  <externalReferences>
    <externalReference r:id="rId33"/>
    <externalReference r:id="rId34"/>
    <externalReference r:id="rId35"/>
  </externalReferences>
  <definedNames>
    <definedName name="_xlnm._FilterDatabase" localSheetId="8" hidden="1">'表五2024年预算支出情况（项级）'!$A$4:$K$447</definedName>
    <definedName name="_xlnm._FilterDatabase" localSheetId="5" hidden="1">'表二2023年公共预算支出表 （项级）'!$A$5:$DU$656</definedName>
    <definedName name="_xlnm.Print_Area" localSheetId="11">'表八三保支出预算情况表  '!$A$1:$G$34</definedName>
    <definedName name="_xlnm.Print_Area" localSheetId="5">'表二2023年公共预算支出表 （项级）'!$A$1:$H$524</definedName>
    <definedName name="_xlnm.Print_Area" localSheetId="6">表三2023年公共预算经济分类执行情况!$A$1:$E$19</definedName>
    <definedName name="_xlnm.Print_Area" localSheetId="18">表四2024年基金支出预算!$A$1:$E$48</definedName>
    <definedName name="_xlnm.Print_Area" localSheetId="7">'表四2024年收入预算 '!$A$1:$F$38</definedName>
    <definedName name="_xlnm.Print_Area" localSheetId="31">'表四社保基金基础表 '!$A$1:$D$17</definedName>
    <definedName name="_xlnm.Print_Area" localSheetId="8">'表五2024年预算支出情况（项级）'!$A$1:$F$442</definedName>
    <definedName name="_xlnm.Print_Area" localSheetId="4">'表一2023年收入预算（分单位） (8%)'!$A$1:$G$41</definedName>
    <definedName name="_xlnm.Print_Area" localSheetId="3">公共预算目录!$A$1:$C$10</definedName>
    <definedName name="_xlnm.Print_Area" localSheetId="14">基金目录!$A$1:$C$13</definedName>
    <definedName name="_xlnm.Print_Area" localSheetId="1">总目录!$A$1:$E$12</definedName>
    <definedName name="_xlnm.Print_Titles" localSheetId="11">'表八三保支出预算情况表  '!$1:$5</definedName>
    <definedName name="_xlnm.Print_Titles" localSheetId="5">'表二2023年公共预算支出表 （项级）'!$1:$5</definedName>
    <definedName name="_xlnm.Print_Titles" localSheetId="16">表二2023年基金支出预算!$1:$5</definedName>
    <definedName name="_xlnm.Print_Titles" localSheetId="12">'表九三保支出预算财力安排情况表 '!$1:$5</definedName>
    <definedName name="_xlnm.Print_Titles" localSheetId="10">'表七基本支出经济分类 '!$1:$4</definedName>
    <definedName name="_xlnm.Print_Titles" localSheetId="18">表四2024年基金支出预算!$1:$4</definedName>
    <definedName name="_xlnm.Print_Titles" localSheetId="8">'表五2024年预算支出情况（项级）'!$1:$4</definedName>
    <definedName name="_xlnm.Print_Area" localSheetId="16">表二2023年基金支出预算!$A$1:$H$49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China</author>
  </authors>
  <commentList>
    <comment ref="D14" authorId="0">
      <text>
        <r>
          <rPr>
            <sz val="9"/>
            <rFont val="宋体"/>
            <charset val="134"/>
          </rPr>
          <t>含城乡居民医保、城乡居民养老保险</t>
        </r>
      </text>
    </comment>
  </commentList>
</comments>
</file>

<file path=xl/comments2.xml><?xml version="1.0" encoding="utf-8"?>
<comments xmlns="http://schemas.openxmlformats.org/spreadsheetml/2006/main">
  <authors>
    <author>wenyong</author>
  </authors>
  <commentList>
    <comment ref="F6" authorId="0">
      <text>
        <r>
          <rPr>
            <sz val="9"/>
            <rFont val="宋体"/>
            <charset val="134"/>
          </rPr>
          <t>wenyong:
按增长6%编制</t>
        </r>
      </text>
    </comment>
  </commentList>
</comments>
</file>

<file path=xl/sharedStrings.xml><?xml version="1.0" encoding="utf-8"?>
<sst xmlns="http://schemas.openxmlformats.org/spreadsheetml/2006/main" count="2859" uniqueCount="1362">
  <si>
    <t>南安市2023年财政收支预算执行情况及2024年预算表（草案）</t>
  </si>
  <si>
    <t>编制单位：南安市财政局</t>
  </si>
  <si>
    <r>
      <rPr>
        <sz val="16"/>
        <rFont val="宋体"/>
        <charset val="134"/>
      </rPr>
      <t>编制日期：</t>
    </r>
    <r>
      <rPr>
        <sz val="16"/>
        <rFont val="Times New Roman"/>
        <charset val="134"/>
      </rPr>
      <t>2023</t>
    </r>
    <r>
      <rPr>
        <sz val="16"/>
        <rFont val="宋体"/>
        <charset val="134"/>
      </rPr>
      <t>年</t>
    </r>
    <r>
      <rPr>
        <sz val="16"/>
        <rFont val="Times New Roman"/>
        <charset val="134"/>
      </rPr>
      <t>12</t>
    </r>
    <r>
      <rPr>
        <sz val="16"/>
        <rFont val="宋体"/>
        <charset val="134"/>
      </rPr>
      <t>月</t>
    </r>
  </si>
  <si>
    <t xml:space="preserve"> </t>
  </si>
  <si>
    <t>目      录</t>
  </si>
  <si>
    <r>
      <rPr>
        <sz val="16"/>
        <rFont val="宋体"/>
        <charset val="134"/>
      </rPr>
      <t>第一部分</t>
    </r>
    <r>
      <rPr>
        <sz val="16"/>
        <rFont val="Arial"/>
        <charset val="134"/>
      </rPr>
      <t xml:space="preserve"> </t>
    </r>
  </si>
  <si>
    <r>
      <rPr>
        <sz val="16"/>
        <color rgb="FF000000"/>
        <rFont val="宋体"/>
        <charset val="134"/>
      </rPr>
      <t>一般公共预算</t>
    </r>
    <r>
      <rPr>
        <sz val="16"/>
        <color rgb="FF000000"/>
        <rFont val="Times New Roman"/>
        <charset val="134"/>
      </rPr>
      <t>2023</t>
    </r>
    <r>
      <rPr>
        <sz val="16"/>
        <color rgb="FF000000"/>
        <rFont val="宋体"/>
        <charset val="134"/>
      </rPr>
      <t>年预算执行情况及</t>
    </r>
    <r>
      <rPr>
        <sz val="16"/>
        <color rgb="FF000000"/>
        <rFont val="Times New Roman"/>
        <charset val="134"/>
      </rPr>
      <t>2024</t>
    </r>
    <r>
      <rPr>
        <sz val="16"/>
        <color rgb="FF000000"/>
        <rFont val="宋体"/>
        <charset val="134"/>
      </rPr>
      <t>年预算表</t>
    </r>
  </si>
  <si>
    <t>第二部分</t>
  </si>
  <si>
    <r>
      <rPr>
        <sz val="16"/>
        <color rgb="FF000000"/>
        <rFont val="宋体"/>
        <charset val="134"/>
      </rPr>
      <t>政府性基金</t>
    </r>
    <r>
      <rPr>
        <sz val="16"/>
        <color rgb="FF000000"/>
        <rFont val="Times New Roman"/>
        <charset val="134"/>
      </rPr>
      <t>2023</t>
    </r>
    <r>
      <rPr>
        <sz val="16"/>
        <color rgb="FF000000"/>
        <rFont val="宋体"/>
        <charset val="134"/>
      </rPr>
      <t>年预算执行情况及</t>
    </r>
    <r>
      <rPr>
        <sz val="16"/>
        <color rgb="FF000000"/>
        <rFont val="Times New Roman"/>
        <charset val="134"/>
      </rPr>
      <t>2024</t>
    </r>
    <r>
      <rPr>
        <sz val="16"/>
        <color rgb="FF000000"/>
        <rFont val="宋体"/>
        <charset val="134"/>
      </rPr>
      <t>年预算表</t>
    </r>
  </si>
  <si>
    <t>第三部分</t>
  </si>
  <si>
    <r>
      <rPr>
        <sz val="16"/>
        <color rgb="FF000000"/>
        <rFont val="宋体"/>
        <charset val="134"/>
      </rPr>
      <t>南安市国有资本经营</t>
    </r>
    <r>
      <rPr>
        <sz val="16"/>
        <color rgb="FF000000"/>
        <rFont val="Times New Roman"/>
        <charset val="134"/>
      </rPr>
      <t>2023</t>
    </r>
    <r>
      <rPr>
        <sz val="16"/>
        <color rgb="FF000000"/>
        <rFont val="宋体"/>
        <charset val="134"/>
      </rPr>
      <t>年预算执行情况及</t>
    </r>
    <r>
      <rPr>
        <sz val="16"/>
        <color rgb="FF000000"/>
        <rFont val="Times New Roman"/>
        <charset val="134"/>
      </rPr>
      <t>2024</t>
    </r>
    <r>
      <rPr>
        <sz val="16"/>
        <color rgb="FF000000"/>
        <rFont val="宋体"/>
        <charset val="134"/>
      </rPr>
      <t>年预算表</t>
    </r>
  </si>
  <si>
    <t>第四部分</t>
  </si>
  <si>
    <r>
      <rPr>
        <sz val="16"/>
        <color rgb="FF000000"/>
        <rFont val="宋体"/>
        <charset val="134"/>
      </rPr>
      <t>南安市本级社会保险基金</t>
    </r>
    <r>
      <rPr>
        <sz val="16"/>
        <color rgb="FF000000"/>
        <rFont val="Times New Roman"/>
        <charset val="134"/>
      </rPr>
      <t>2023</t>
    </r>
    <r>
      <rPr>
        <sz val="16"/>
        <color rgb="FF000000"/>
        <rFont val="宋体"/>
        <charset val="134"/>
      </rPr>
      <t>年预算执行情况及</t>
    </r>
    <r>
      <rPr>
        <sz val="16"/>
        <color rgb="FF000000"/>
        <rFont val="Times New Roman"/>
        <charset val="134"/>
      </rPr>
      <t>2024</t>
    </r>
    <r>
      <rPr>
        <sz val="16"/>
        <color rgb="FF000000"/>
        <rFont val="宋体"/>
        <charset val="134"/>
      </rPr>
      <t>年预算表</t>
    </r>
  </si>
  <si>
    <t xml:space="preserve">第一部分 </t>
  </si>
  <si>
    <t>一般公共预算2023年预算执行情况及2024年预算表</t>
  </si>
  <si>
    <t xml:space="preserve">    </t>
  </si>
  <si>
    <r>
      <rPr>
        <sz val="12"/>
        <color rgb="FF000000"/>
        <rFont val="宋体"/>
        <charset val="134"/>
      </rPr>
      <t>一、</t>
    </r>
    <r>
      <rPr>
        <sz val="12"/>
        <color rgb="FF000000"/>
        <rFont val="Times New Roman"/>
        <charset val="134"/>
      </rPr>
      <t>2023</t>
    </r>
    <r>
      <rPr>
        <sz val="12"/>
        <color rgb="FF000000"/>
        <rFont val="宋体"/>
        <charset val="134"/>
      </rPr>
      <t>年一般公共预算收入完成情况表</t>
    </r>
    <r>
      <rPr>
        <sz val="12"/>
        <color rgb="FF000000"/>
        <rFont val="Times New Roman"/>
        <charset val="134"/>
      </rPr>
      <t>................................................................................</t>
    </r>
  </si>
  <si>
    <t>表一</t>
  </si>
  <si>
    <r>
      <rPr>
        <sz val="12"/>
        <color rgb="FF000000"/>
        <rFont val="宋体"/>
        <charset val="134"/>
      </rPr>
      <t>二、</t>
    </r>
    <r>
      <rPr>
        <sz val="12"/>
        <color rgb="FF000000"/>
        <rFont val="Times New Roman"/>
        <charset val="134"/>
      </rPr>
      <t>2023</t>
    </r>
    <r>
      <rPr>
        <sz val="12"/>
        <color rgb="FF000000"/>
        <rFont val="宋体"/>
        <charset val="134"/>
      </rPr>
      <t>年一般公共预算支出完成情况表</t>
    </r>
    <r>
      <rPr>
        <sz val="12"/>
        <color rgb="FF000000"/>
        <rFont val="Times New Roman"/>
        <charset val="134"/>
      </rPr>
      <t>..............................................................................................</t>
    </r>
  </si>
  <si>
    <t>表二</t>
  </si>
  <si>
    <r>
      <rPr>
        <sz val="12"/>
        <color rgb="FF000000"/>
        <rFont val="宋体"/>
        <charset val="134"/>
      </rPr>
      <t>三、</t>
    </r>
    <r>
      <rPr>
        <sz val="12"/>
        <color rgb="FF000000"/>
        <rFont val="Times New Roman"/>
        <charset val="134"/>
      </rPr>
      <t>2023</t>
    </r>
    <r>
      <rPr>
        <sz val="12"/>
        <color rgb="FF000000"/>
        <rFont val="宋体"/>
        <charset val="134"/>
      </rPr>
      <t>年一般公共预算支出经济分类情况表</t>
    </r>
    <r>
      <rPr>
        <sz val="12"/>
        <color rgb="FF000000"/>
        <rFont val="Times New Roman"/>
        <charset val="134"/>
      </rPr>
      <t>....................................................................</t>
    </r>
  </si>
  <si>
    <t>表三</t>
  </si>
  <si>
    <r>
      <rPr>
        <sz val="12"/>
        <color rgb="FF000000"/>
        <rFont val="宋体"/>
        <charset val="134"/>
      </rPr>
      <t>四、</t>
    </r>
    <r>
      <rPr>
        <sz val="12"/>
        <color rgb="FF000000"/>
        <rFont val="Times New Roman"/>
        <charset val="134"/>
      </rPr>
      <t>2024</t>
    </r>
    <r>
      <rPr>
        <sz val="12"/>
        <color rgb="FF000000"/>
        <rFont val="宋体"/>
        <charset val="134"/>
      </rPr>
      <t>年一般公共预算收入情况表</t>
    </r>
    <r>
      <rPr>
        <sz val="12"/>
        <color rgb="FF000000"/>
        <rFont val="Times New Roman"/>
        <charset val="134"/>
      </rPr>
      <t>..........................................................................................</t>
    </r>
  </si>
  <si>
    <t>表四</t>
  </si>
  <si>
    <r>
      <rPr>
        <sz val="12"/>
        <color rgb="FF000000"/>
        <rFont val="宋体"/>
        <charset val="134"/>
      </rPr>
      <t>五、</t>
    </r>
    <r>
      <rPr>
        <sz val="12"/>
        <color rgb="FF000000"/>
        <rFont val="Times New Roman"/>
        <charset val="134"/>
      </rPr>
      <t>2024</t>
    </r>
    <r>
      <rPr>
        <sz val="12"/>
        <color rgb="FF000000"/>
        <rFont val="宋体"/>
        <charset val="134"/>
      </rPr>
      <t>年一般公共预算支出情况表</t>
    </r>
    <r>
      <rPr>
        <sz val="12"/>
        <color rgb="FF000000"/>
        <rFont val="Times New Roman"/>
        <charset val="134"/>
      </rPr>
      <t>................................................................................................</t>
    </r>
  </si>
  <si>
    <t>表五</t>
  </si>
  <si>
    <r>
      <rPr>
        <sz val="12"/>
        <color rgb="FF000000"/>
        <rFont val="宋体"/>
        <charset val="134"/>
      </rPr>
      <t>六、</t>
    </r>
    <r>
      <rPr>
        <sz val="12"/>
        <color rgb="FF000000"/>
        <rFont val="Times New Roman"/>
        <charset val="134"/>
      </rPr>
      <t>2024</t>
    </r>
    <r>
      <rPr>
        <sz val="12"/>
        <color rgb="FF000000"/>
        <rFont val="宋体"/>
        <charset val="134"/>
      </rPr>
      <t>年一般公共预算支出经济分类情况表</t>
    </r>
    <r>
      <rPr>
        <sz val="12"/>
        <color rgb="FF000000"/>
        <rFont val="Arial"/>
        <charset val="134"/>
      </rPr>
      <t>………………………………………………</t>
    </r>
  </si>
  <si>
    <t>表六</t>
  </si>
  <si>
    <r>
      <rPr>
        <sz val="12"/>
        <color rgb="FF000000"/>
        <rFont val="宋体"/>
        <charset val="134"/>
      </rPr>
      <t>七、</t>
    </r>
    <r>
      <rPr>
        <sz val="12"/>
        <color rgb="FF000000"/>
        <rFont val="Times New Roman"/>
        <charset val="134"/>
      </rPr>
      <t>2024</t>
    </r>
    <r>
      <rPr>
        <sz val="12"/>
        <color rgb="FF000000"/>
        <rFont val="宋体"/>
        <charset val="134"/>
      </rPr>
      <t>年一般公共预算基本支出经济分类情况表</t>
    </r>
    <r>
      <rPr>
        <sz val="12"/>
        <color rgb="FF000000"/>
        <rFont val="Times New Roman"/>
        <charset val="134"/>
      </rPr>
      <t>................................................................................................</t>
    </r>
  </si>
  <si>
    <t>表七</t>
  </si>
  <si>
    <r>
      <rPr>
        <sz val="12"/>
        <color rgb="FF000000"/>
        <rFont val="宋体"/>
        <charset val="134"/>
      </rPr>
      <t>八、</t>
    </r>
    <r>
      <rPr>
        <sz val="12"/>
        <color rgb="FF000000"/>
        <rFont val="Times New Roman"/>
        <charset val="134"/>
      </rPr>
      <t>2024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Times New Roman"/>
        <charset val="134"/>
      </rPr>
      <t>“</t>
    </r>
    <r>
      <rPr>
        <sz val="12"/>
        <color rgb="FF000000"/>
        <rFont val="宋体"/>
        <charset val="134"/>
      </rPr>
      <t>三保</t>
    </r>
    <r>
      <rPr>
        <sz val="12"/>
        <color rgb="FF000000"/>
        <rFont val="Times New Roman"/>
        <charset val="134"/>
      </rPr>
      <t>”</t>
    </r>
    <r>
      <rPr>
        <sz val="12"/>
        <color rgb="FF000000"/>
        <rFont val="宋体"/>
        <charset val="134"/>
      </rPr>
      <t>支出预算情况表</t>
    </r>
    <r>
      <rPr>
        <sz val="12"/>
        <color rgb="FF000000"/>
        <rFont val="Times New Roman"/>
        <charset val="134"/>
      </rPr>
      <t>................................................................................................</t>
    </r>
  </si>
  <si>
    <t>表八</t>
  </si>
  <si>
    <r>
      <rPr>
        <sz val="12"/>
        <color rgb="FF000000"/>
        <rFont val="宋体"/>
        <charset val="134"/>
      </rPr>
      <t>九、“三保”支出预算财力安排情况表</t>
    </r>
    <r>
      <rPr>
        <sz val="12"/>
        <color rgb="FF000000"/>
        <rFont val="Arial"/>
        <charset val="134"/>
      </rPr>
      <t>……………………………………………………</t>
    </r>
  </si>
  <si>
    <t>表九</t>
  </si>
  <si>
    <t>表一：</t>
  </si>
  <si>
    <t>2023年一般公共预算收入完成情况表</t>
  </si>
  <si>
    <t>单位：万元</t>
  </si>
  <si>
    <r>
      <rPr>
        <b/>
        <sz val="12"/>
        <rFont val="宋体"/>
        <charset val="134"/>
      </rPr>
      <t>项</t>
    </r>
    <r>
      <rPr>
        <b/>
        <sz val="12"/>
        <rFont val="Times New Roman"/>
        <charset val="134"/>
      </rPr>
      <t xml:space="preserve">          </t>
    </r>
    <r>
      <rPr>
        <b/>
        <sz val="12"/>
        <rFont val="宋体"/>
        <charset val="134"/>
      </rPr>
      <t>目</t>
    </r>
  </si>
  <si>
    <t>2022年   实绩</t>
  </si>
  <si>
    <t>2023年   预算</t>
  </si>
  <si>
    <t>2023年   调整后　　　预算</t>
  </si>
  <si>
    <t>2023年收入</t>
  </si>
  <si>
    <t>完成数</t>
  </si>
  <si>
    <t>完成调整后预算%</t>
  </si>
  <si>
    <t>比增%</t>
  </si>
  <si>
    <t>一、一般公共预算收入</t>
  </si>
  <si>
    <t>1、税收收入</t>
  </si>
  <si>
    <t>增值税50%</t>
  </si>
  <si>
    <t>企业所得税40%</t>
  </si>
  <si>
    <t>个人所得税40%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</si>
  <si>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</si>
  <si>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</si>
  <si>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</si>
  <si>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</si>
  <si>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</si>
  <si>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</si>
  <si>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</si>
  <si>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</si>
  <si>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</si>
  <si>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环保税</t>
  </si>
  <si>
    <t>其他税收收入</t>
  </si>
  <si>
    <t>2、非税收入</t>
  </si>
  <si>
    <t>专项收入</t>
  </si>
  <si>
    <t>行政事业性收费收入</t>
  </si>
  <si>
    <t>罚没收入</t>
  </si>
  <si>
    <t>其他收入</t>
  </si>
  <si>
    <t>二、中央财政收入</t>
  </si>
  <si>
    <t>1、增值税50%</t>
  </si>
  <si>
    <t>2、消费税</t>
  </si>
  <si>
    <t>3、企业所得税60%</t>
  </si>
  <si>
    <t>4、个人所得税60%</t>
  </si>
  <si>
    <t>5、车辆购置税</t>
  </si>
  <si>
    <t>三、一般公共预算总收入</t>
  </si>
  <si>
    <t>1、税务局</t>
  </si>
  <si>
    <t>2、财政局</t>
  </si>
  <si>
    <t>3、退税（成品油价改划出及留抵退税）</t>
  </si>
  <si>
    <t xml:space="preserve">  其中：留抵退税</t>
  </si>
  <si>
    <t xml:space="preserve">       成品油划出（城建税）</t>
  </si>
  <si>
    <t xml:space="preserve">       教育费附加</t>
  </si>
  <si>
    <t>四、总收入中税性比重%</t>
  </si>
  <si>
    <t>一般公共预算收入中税性比重%</t>
  </si>
  <si>
    <t>表二：</t>
  </si>
  <si>
    <t>2023年一般公共预算支出完成情况表</t>
  </si>
  <si>
    <t>科      目</t>
  </si>
  <si>
    <t>2022年实绩</t>
  </si>
  <si>
    <t>2023年支出</t>
  </si>
  <si>
    <t>备注</t>
  </si>
  <si>
    <t>预算数</t>
  </si>
  <si>
    <t>调整后
预算数</t>
  </si>
  <si>
    <t>一、一般公共服务支出</t>
  </si>
  <si>
    <t>1、人大事务</t>
  </si>
  <si>
    <t>行政运行</t>
  </si>
  <si>
    <t>2010101</t>
  </si>
  <si>
    <t>一般行政管理事务</t>
  </si>
  <si>
    <t>2010102</t>
  </si>
  <si>
    <t>人大会议</t>
  </si>
  <si>
    <t>2010104</t>
  </si>
  <si>
    <t>人大代表履职能力提升</t>
  </si>
  <si>
    <t>2010107</t>
  </si>
  <si>
    <t>代表工作</t>
  </si>
  <si>
    <t>2010108</t>
  </si>
  <si>
    <t>事业运行</t>
  </si>
  <si>
    <t>2010150</t>
  </si>
  <si>
    <t>其他人大事务支出</t>
  </si>
  <si>
    <t>2010199</t>
  </si>
  <si>
    <t>2、政协事务</t>
  </si>
  <si>
    <t>2010201</t>
  </si>
  <si>
    <t>2010202</t>
  </si>
  <si>
    <t>政协会议</t>
  </si>
  <si>
    <t>2010204</t>
  </si>
  <si>
    <t>委员视察</t>
  </si>
  <si>
    <t>2010205</t>
  </si>
  <si>
    <t>2010250</t>
  </si>
  <si>
    <t>3、政府办公厅（室）及相关机构事务</t>
  </si>
  <si>
    <t>2010301</t>
  </si>
  <si>
    <t>2010302</t>
  </si>
  <si>
    <t>专项业务及机关事务管理</t>
  </si>
  <si>
    <t>2010305</t>
  </si>
  <si>
    <t>信访事务</t>
  </si>
  <si>
    <t>2010308</t>
  </si>
  <si>
    <t>2010350</t>
  </si>
  <si>
    <t>其他政府办公厅（室）及相关机构事务支出</t>
  </si>
  <si>
    <t>2010399</t>
  </si>
  <si>
    <t>其他政府办公厅(室)及相关机构事务支出</t>
  </si>
  <si>
    <t>4、发展与改革事务</t>
  </si>
  <si>
    <t>2010401</t>
  </si>
  <si>
    <t>2010402</t>
  </si>
  <si>
    <t>战略规划与实施</t>
  </si>
  <si>
    <t>2010404</t>
  </si>
  <si>
    <t>物价管理</t>
  </si>
  <si>
    <t>2010408</t>
  </si>
  <si>
    <t>2010450</t>
  </si>
  <si>
    <t>其他发展与改革事务支出</t>
  </si>
  <si>
    <t>2010499</t>
  </si>
  <si>
    <t>5、统计信息事务</t>
  </si>
  <si>
    <t>2010501</t>
  </si>
  <si>
    <t>2010502</t>
  </si>
  <si>
    <t>专项普查活动</t>
  </si>
  <si>
    <t>2010507</t>
  </si>
  <si>
    <t>统计抽样调查</t>
  </si>
  <si>
    <t>2010550</t>
  </si>
  <si>
    <t>6、财政事务</t>
  </si>
  <si>
    <t>2010601</t>
  </si>
  <si>
    <t>2010602</t>
  </si>
  <si>
    <t>财政国库业务</t>
  </si>
  <si>
    <t>2010605</t>
  </si>
  <si>
    <t>信息化建设</t>
  </si>
  <si>
    <t>2010607</t>
  </si>
  <si>
    <t>2010650</t>
  </si>
  <si>
    <t>其他财政事务支出</t>
  </si>
  <si>
    <t>2010699</t>
  </si>
  <si>
    <t>7、税收事务</t>
  </si>
  <si>
    <t>税收业务</t>
  </si>
  <si>
    <t>2010710</t>
  </si>
  <si>
    <t>8、审计事务</t>
  </si>
  <si>
    <t>2010801</t>
  </si>
  <si>
    <t>2010802</t>
  </si>
  <si>
    <t>审计业务</t>
  </si>
  <si>
    <t>2010804</t>
  </si>
  <si>
    <t>2010850</t>
  </si>
  <si>
    <t>其他审计事务支出</t>
  </si>
  <si>
    <t>2010899</t>
  </si>
  <si>
    <t>9、纪检监察事务</t>
  </si>
  <si>
    <t>2011101</t>
  </si>
  <si>
    <t>2011102</t>
  </si>
  <si>
    <t>2011150</t>
  </si>
  <si>
    <r>
      <rPr>
        <b/>
        <sz val="12"/>
        <color indexed="8"/>
        <rFont val="宋体"/>
        <charset val="134"/>
      </rPr>
      <t>1</t>
    </r>
    <r>
      <rPr>
        <b/>
        <sz val="12"/>
        <color indexed="8"/>
        <rFont val="宋体"/>
        <charset val="134"/>
      </rPr>
      <t>0</t>
    </r>
    <r>
      <rPr>
        <b/>
        <sz val="12"/>
        <color indexed="8"/>
        <rFont val="宋体"/>
        <charset val="134"/>
      </rPr>
      <t>、商贸事务</t>
    </r>
  </si>
  <si>
    <t>2011301</t>
  </si>
  <si>
    <t>2011302</t>
  </si>
  <si>
    <t>对外贸易管理</t>
  </si>
  <si>
    <t>2011304</t>
  </si>
  <si>
    <t>2011350</t>
  </si>
  <si>
    <t>其他商贸事务支出</t>
  </si>
  <si>
    <t>2011399</t>
  </si>
  <si>
    <t>11、港澳台事务</t>
  </si>
  <si>
    <t>2012502</t>
  </si>
  <si>
    <t>台湾事务</t>
  </si>
  <si>
    <t>2012505</t>
  </si>
  <si>
    <t>2012550</t>
  </si>
  <si>
    <t>12、档案事务</t>
  </si>
  <si>
    <t>2012601</t>
  </si>
  <si>
    <t>2012602</t>
  </si>
  <si>
    <t>档案馆</t>
  </si>
  <si>
    <t>2012604</t>
  </si>
  <si>
    <t xml:space="preserve">  13、民主党派及工商联事务</t>
  </si>
  <si>
    <t>2012801</t>
  </si>
  <si>
    <t>2012802</t>
  </si>
  <si>
    <t>14、群众团体事务</t>
  </si>
  <si>
    <t>2012901</t>
  </si>
  <si>
    <t>2012902</t>
  </si>
  <si>
    <t>2012950</t>
  </si>
  <si>
    <t>15、党委办公厅（室）及相关机构事务</t>
  </si>
  <si>
    <t>2013101</t>
  </si>
  <si>
    <t>2013102</t>
  </si>
  <si>
    <t>2013150</t>
  </si>
  <si>
    <t>其他党委办公厅（室）及相关机构事务支出</t>
  </si>
  <si>
    <t>2013199</t>
  </si>
  <si>
    <t>其他党委办公厅(室)及相关机构事务支出</t>
  </si>
  <si>
    <t>16、组织事务</t>
  </si>
  <si>
    <t>2013201</t>
  </si>
  <si>
    <t>2013202</t>
  </si>
  <si>
    <t>公务员事务</t>
  </si>
  <si>
    <t>2013204</t>
  </si>
  <si>
    <t>2013250</t>
  </si>
  <si>
    <t>其他组织事务支出</t>
  </si>
  <si>
    <t>2013299</t>
  </si>
  <si>
    <t>17、宣传事务</t>
  </si>
  <si>
    <t>2013301</t>
  </si>
  <si>
    <t>2013302</t>
  </si>
  <si>
    <t>2013350</t>
  </si>
  <si>
    <t>其他宣传事务支出</t>
  </si>
  <si>
    <t>2013399</t>
  </si>
  <si>
    <t>18、统战事务</t>
  </si>
  <si>
    <t>2013401</t>
  </si>
  <si>
    <t>2013402</t>
  </si>
  <si>
    <t>华侨事务</t>
  </si>
  <si>
    <t>2013405</t>
  </si>
  <si>
    <t>2013450</t>
  </si>
  <si>
    <t>19、市场监督管理事务</t>
  </si>
  <si>
    <t>2013801</t>
  </si>
  <si>
    <t>2013802</t>
  </si>
  <si>
    <t>质量基础</t>
  </si>
  <si>
    <t>2013810</t>
  </si>
  <si>
    <t>药品事务</t>
  </si>
  <si>
    <t>2013812</t>
  </si>
  <si>
    <t>食品安全监管</t>
  </si>
  <si>
    <t>2013816</t>
  </si>
  <si>
    <t>2013850</t>
  </si>
  <si>
    <t>其他市场监督管理事务</t>
  </si>
  <si>
    <t>2013899</t>
  </si>
  <si>
    <t>20、其他一般公共服务支出</t>
  </si>
  <si>
    <t>其他一般公共服务支出</t>
  </si>
  <si>
    <t>2019999</t>
  </si>
  <si>
    <t>二、国防支出</t>
  </si>
  <si>
    <t>1、现役部队</t>
  </si>
  <si>
    <t>预备役部队</t>
  </si>
  <si>
    <t>2030102</t>
  </si>
  <si>
    <t>2、国防动员</t>
  </si>
  <si>
    <t>民兵</t>
  </si>
  <si>
    <t>2030607</t>
  </si>
  <si>
    <t>三、公共安全支出</t>
  </si>
  <si>
    <t>1、武装警察部队</t>
  </si>
  <si>
    <t>武装警察部队</t>
  </si>
  <si>
    <t>2040101</t>
  </si>
  <si>
    <t>2、公安</t>
  </si>
  <si>
    <t>2040201</t>
  </si>
  <si>
    <t>2040202</t>
  </si>
  <si>
    <t>2040219</t>
  </si>
  <si>
    <t>执法办案</t>
  </si>
  <si>
    <t>2040220</t>
  </si>
  <si>
    <t>其他公安支出</t>
  </si>
  <si>
    <t>2040299</t>
  </si>
  <si>
    <t>3、检察</t>
  </si>
  <si>
    <t>其他检察支出</t>
  </si>
  <si>
    <t>2040499</t>
  </si>
  <si>
    <t>4、法院</t>
  </si>
  <si>
    <t xml:space="preserve"> 案件审判</t>
  </si>
  <si>
    <t>2040504</t>
  </si>
  <si>
    <t>案件审判</t>
  </si>
  <si>
    <t>案件执行</t>
  </si>
  <si>
    <t>2040505</t>
  </si>
  <si>
    <t>“两庭”建设</t>
  </si>
  <si>
    <t>2040506</t>
  </si>
  <si>
    <t>其他法院支出</t>
  </si>
  <si>
    <t>2040599</t>
  </si>
  <si>
    <t>5、司法</t>
  </si>
  <si>
    <t>2040601</t>
  </si>
  <si>
    <t>2040602</t>
  </si>
  <si>
    <t>基层司法业务</t>
  </si>
  <si>
    <t>普法宣传</t>
  </si>
  <si>
    <t>2040605</t>
  </si>
  <si>
    <t>社区矫正</t>
  </si>
  <si>
    <t>2040610</t>
  </si>
  <si>
    <t>2040650</t>
  </si>
  <si>
    <t>其他司法支出</t>
  </si>
  <si>
    <t>2040699</t>
  </si>
  <si>
    <t>6、监狱</t>
  </si>
  <si>
    <t>2040702</t>
  </si>
  <si>
    <t>狱政设施建设</t>
  </si>
  <si>
    <t>2040706</t>
  </si>
  <si>
    <t>7、其他公共安全支出</t>
  </si>
  <si>
    <t>其他公共安全支出</t>
  </si>
  <si>
    <t>2049999</t>
  </si>
  <si>
    <t>四、教育支出</t>
  </si>
  <si>
    <t>规范津贴补贴，事业人员提高标准。</t>
  </si>
  <si>
    <t>1、教育管理事务</t>
  </si>
  <si>
    <t>2050101</t>
  </si>
  <si>
    <t>2050102</t>
  </si>
  <si>
    <t>其他教育管理事务支出</t>
  </si>
  <si>
    <t>2、普通教育</t>
  </si>
  <si>
    <t>学前教育</t>
  </si>
  <si>
    <t>2050201</t>
  </si>
  <si>
    <t>小学教育</t>
  </si>
  <si>
    <t>2050202</t>
  </si>
  <si>
    <t>初中教育</t>
  </si>
  <si>
    <t>2050203</t>
  </si>
  <si>
    <t>高中教育</t>
  </si>
  <si>
    <t>2050204</t>
  </si>
  <si>
    <t>其他普通教育支出</t>
  </si>
  <si>
    <t>2050299</t>
  </si>
  <si>
    <t>3、职业教育</t>
  </si>
  <si>
    <t>中等职业教育</t>
  </si>
  <si>
    <t>2050302</t>
  </si>
  <si>
    <t>4、广播电视教育</t>
  </si>
  <si>
    <t>广播电视学校</t>
  </si>
  <si>
    <t>2050501</t>
  </si>
  <si>
    <t>5、特殊教育</t>
  </si>
  <si>
    <t>特殊学校教育</t>
  </si>
  <si>
    <t>2050701</t>
  </si>
  <si>
    <t>其他特殊教育支出</t>
  </si>
  <si>
    <t>2050799</t>
  </si>
  <si>
    <t>6、进修及培训</t>
  </si>
  <si>
    <t>教师进修</t>
  </si>
  <si>
    <t>2050801</t>
  </si>
  <si>
    <t>干部教育</t>
  </si>
  <si>
    <t>2050802</t>
  </si>
  <si>
    <t>培训支出</t>
  </si>
  <si>
    <t>2050803</t>
  </si>
  <si>
    <t>7、教育费附加安排的支出</t>
  </si>
  <si>
    <t>城市中小学教学设施</t>
  </si>
  <si>
    <t>2050904</t>
  </si>
  <si>
    <t>其他教育费附加安排的支出</t>
  </si>
  <si>
    <t>2050999</t>
  </si>
  <si>
    <t>8、其他教育支出</t>
  </si>
  <si>
    <t>其他教育支出</t>
  </si>
  <si>
    <t>2059999</t>
  </si>
  <si>
    <t>五、科学技术支出</t>
  </si>
  <si>
    <t>1、科学技术管理事务</t>
  </si>
  <si>
    <t>2060101</t>
  </si>
  <si>
    <t>2060102</t>
  </si>
  <si>
    <t>2、技术研究与开发</t>
  </si>
  <si>
    <t xml:space="preserve">   机构运行</t>
  </si>
  <si>
    <t>2060401</t>
  </si>
  <si>
    <t>机构运行</t>
  </si>
  <si>
    <t>科技成果转化与扩散</t>
  </si>
  <si>
    <t>2060404</t>
  </si>
  <si>
    <t>其他技术研究与开发支出</t>
  </si>
  <si>
    <t>2060499</t>
  </si>
  <si>
    <t>3、科技条件与服务</t>
  </si>
  <si>
    <t>技术创新服务体系</t>
  </si>
  <si>
    <t>2060502</t>
  </si>
  <si>
    <t>4、科学技术普及</t>
  </si>
  <si>
    <t>2060701</t>
  </si>
  <si>
    <t>科普活动</t>
  </si>
  <si>
    <t>2060702</t>
  </si>
  <si>
    <t>其他科学技术普及支出</t>
  </si>
  <si>
    <t>2060799</t>
  </si>
  <si>
    <t>5、科技交流与合作</t>
  </si>
  <si>
    <t>其他科技交流与合作支出</t>
  </si>
  <si>
    <t>2060899</t>
  </si>
  <si>
    <t>6、其他科学技术支出</t>
  </si>
  <si>
    <t>其他科学技术支出</t>
  </si>
  <si>
    <t>2069999</t>
  </si>
  <si>
    <t>六、文化旅游体育与传媒支出</t>
  </si>
  <si>
    <t>加大文化、体育事业投入。</t>
  </si>
  <si>
    <t>1、文化和旅游</t>
  </si>
  <si>
    <t>2070101</t>
  </si>
  <si>
    <t>2070102</t>
  </si>
  <si>
    <t>图书馆</t>
  </si>
  <si>
    <t>2070104</t>
  </si>
  <si>
    <t>文化展示及纪念机构</t>
  </si>
  <si>
    <t>2070105</t>
  </si>
  <si>
    <t>艺术表演团体</t>
  </si>
  <si>
    <t>2070107</t>
  </si>
  <si>
    <t>文化活动</t>
  </si>
  <si>
    <t>2070108</t>
  </si>
  <si>
    <t>群众文化</t>
  </si>
  <si>
    <t>2070109</t>
  </si>
  <si>
    <t>文化和旅游交流与合作</t>
  </si>
  <si>
    <t>2070110</t>
  </si>
  <si>
    <t>文化创作与保护</t>
  </si>
  <si>
    <t>2070111</t>
  </si>
  <si>
    <t>文化和旅游市场管理</t>
  </si>
  <si>
    <t>2070112</t>
  </si>
  <si>
    <t>旅游宣传</t>
  </si>
  <si>
    <t>2070113</t>
  </si>
  <si>
    <t>文化和旅游管理事务</t>
  </si>
  <si>
    <t>其他文化和旅游支出</t>
  </si>
  <si>
    <t>2070199</t>
  </si>
  <si>
    <t>2、文物</t>
  </si>
  <si>
    <t>文物保护</t>
  </si>
  <si>
    <t>2070204</t>
  </si>
  <si>
    <t>博物馆</t>
  </si>
  <si>
    <t>2070205</t>
  </si>
  <si>
    <t>历史名城与古迹</t>
  </si>
  <si>
    <t>2070206</t>
  </si>
  <si>
    <t>其他文物支出</t>
  </si>
  <si>
    <t>2070299</t>
  </si>
  <si>
    <t>3、体育</t>
  </si>
  <si>
    <t>体育竞赛</t>
  </si>
  <si>
    <t>2070305</t>
  </si>
  <si>
    <t>体育训练</t>
  </si>
  <si>
    <t>2070306</t>
  </si>
  <si>
    <t>体育场馆</t>
  </si>
  <si>
    <t>2070307</t>
  </si>
  <si>
    <t>群众体育</t>
  </si>
  <si>
    <t>2070308</t>
  </si>
  <si>
    <t>4、广播电视</t>
  </si>
  <si>
    <t>2070802</t>
  </si>
  <si>
    <t>广播电视事务</t>
  </si>
  <si>
    <t>2070808</t>
  </si>
  <si>
    <t>其他广播电视支出</t>
  </si>
  <si>
    <t>2070899</t>
  </si>
  <si>
    <t>5、其他文化旅游体育与传媒支出</t>
  </si>
  <si>
    <t>宣传文化发展专项支出</t>
  </si>
  <si>
    <t>2079902</t>
  </si>
  <si>
    <t>文化产业发展专项支出</t>
  </si>
  <si>
    <t>2079903</t>
  </si>
  <si>
    <t>其他文化旅游体育与传媒支出</t>
  </si>
  <si>
    <t>2079999</t>
  </si>
  <si>
    <t>七、社会保障和就业支出</t>
  </si>
  <si>
    <t>1、人力资源和社会保障管理事务</t>
  </si>
  <si>
    <t>2080101</t>
  </si>
  <si>
    <t>2080102</t>
  </si>
  <si>
    <t>社会保险经办机构</t>
  </si>
  <si>
    <t>2080109</t>
  </si>
  <si>
    <t>引进人才费用</t>
  </si>
  <si>
    <t>2080116</t>
  </si>
  <si>
    <t>2080150</t>
  </si>
  <si>
    <t>其他人力资源和社会保障管理事务支出</t>
  </si>
  <si>
    <t>2080199</t>
  </si>
  <si>
    <t>2、民政管理事务</t>
  </si>
  <si>
    <t>2080201</t>
  </si>
  <si>
    <t>2080202</t>
  </si>
  <si>
    <t>社会组织管理</t>
  </si>
  <si>
    <t>2080206</t>
  </si>
  <si>
    <t>行政区划和地名管理</t>
  </si>
  <si>
    <t>2080207</t>
  </si>
  <si>
    <t>基层政权建设和社区治理</t>
  </si>
  <si>
    <t>2080208</t>
  </si>
  <si>
    <t>其他民政管理事务支出</t>
  </si>
  <si>
    <t>3、行政事业单位养老支出</t>
  </si>
  <si>
    <t>行政单位离退休</t>
  </si>
  <si>
    <t>2080501</t>
  </si>
  <si>
    <t>事业单位离退休</t>
  </si>
  <si>
    <t>2080502</t>
  </si>
  <si>
    <t>离退休人员管理机构</t>
  </si>
  <si>
    <t>2080503</t>
  </si>
  <si>
    <t>机关事业单位基本养老保险缴费支出</t>
  </si>
  <si>
    <t>2080505</t>
  </si>
  <si>
    <t>机关事业单位职业年金缴费支出</t>
  </si>
  <si>
    <t>2080506</t>
  </si>
  <si>
    <t>对机关事业单位基本养老保险基金的补助</t>
  </si>
  <si>
    <t>2080507</t>
  </si>
  <si>
    <t>对机关事业单位职业年金的补助</t>
  </si>
  <si>
    <t>2080508</t>
  </si>
  <si>
    <t>其他行政事业单位养老支出</t>
  </si>
  <si>
    <t>2080599</t>
  </si>
  <si>
    <t>4、就业补助</t>
  </si>
  <si>
    <t>就业创业服务补贴</t>
  </si>
  <si>
    <t>2080701</t>
  </si>
  <si>
    <t>促进创业补贴</t>
  </si>
  <si>
    <t>2080713</t>
  </si>
  <si>
    <t>其他就业补助支出</t>
  </si>
  <si>
    <t>2080799</t>
  </si>
  <si>
    <t>5、抚恤</t>
  </si>
  <si>
    <t>死亡抚恤</t>
  </si>
  <si>
    <t>2080801</t>
  </si>
  <si>
    <t>义务兵优待</t>
  </si>
  <si>
    <t>2080805</t>
  </si>
  <si>
    <t>其他优抚支出</t>
  </si>
  <si>
    <t>2080899</t>
  </si>
  <si>
    <t>6、退役安置</t>
  </si>
  <si>
    <t>退役士兵安置</t>
  </si>
  <si>
    <t>2080901</t>
  </si>
  <si>
    <t>军队移交政府的离退休人员安置</t>
  </si>
  <si>
    <t>2080902</t>
  </si>
  <si>
    <t>军队移交政府离退休干部管理机构</t>
  </si>
  <si>
    <t>2080903</t>
  </si>
  <si>
    <t>军队转业干部安置</t>
  </si>
  <si>
    <t>2080905</t>
  </si>
  <si>
    <t>其他退役安置支出</t>
  </si>
  <si>
    <t>2080999</t>
  </si>
  <si>
    <t>7、社会福利</t>
  </si>
  <si>
    <t>儿童福利</t>
  </si>
  <si>
    <t>2081001</t>
  </si>
  <si>
    <t>老年福利</t>
  </si>
  <si>
    <t>2081002</t>
  </si>
  <si>
    <t>殡葬</t>
  </si>
  <si>
    <t>2081004</t>
  </si>
  <si>
    <t>养老服务</t>
  </si>
  <si>
    <t>2081006</t>
  </si>
  <si>
    <t>其他社会福利支出</t>
  </si>
  <si>
    <t>2081099</t>
  </si>
  <si>
    <t>8、残疾人事业</t>
  </si>
  <si>
    <t>2081101</t>
  </si>
  <si>
    <t>2081102</t>
  </si>
  <si>
    <t>残疾人康复</t>
  </si>
  <si>
    <t>2081104</t>
  </si>
  <si>
    <t>残疾人就业</t>
  </si>
  <si>
    <t>2081105</t>
  </si>
  <si>
    <t>残疾人体育</t>
  </si>
  <si>
    <t>2081106</t>
  </si>
  <si>
    <t>残疾人生活和护理补贴</t>
  </si>
  <si>
    <t>2081107</t>
  </si>
  <si>
    <t>其他残疾人事业支出</t>
  </si>
  <si>
    <t>2081199</t>
  </si>
  <si>
    <t>9、红十字事业</t>
  </si>
  <si>
    <t>2081601</t>
  </si>
  <si>
    <t>2081602</t>
  </si>
  <si>
    <t>其他红十字事业支出</t>
  </si>
  <si>
    <t>2081699</t>
  </si>
  <si>
    <t>10、最低生活保障</t>
  </si>
  <si>
    <t>城市最低生活保障金支出</t>
  </si>
  <si>
    <t>2081901</t>
  </si>
  <si>
    <t>农村最低生活保障金支出</t>
  </si>
  <si>
    <t>2081902</t>
  </si>
  <si>
    <t>11、临时救助</t>
  </si>
  <si>
    <t>临时救助支出</t>
  </si>
  <si>
    <t>2082001</t>
  </si>
  <si>
    <t>流浪乞讨人员救助支出</t>
  </si>
  <si>
    <t>2082002</t>
  </si>
  <si>
    <t>12、特困人员救助供养</t>
  </si>
  <si>
    <t>城市特困人员救助供养支出</t>
  </si>
  <si>
    <t>2082101</t>
  </si>
  <si>
    <t>农村特困人员救助供养支出</t>
  </si>
  <si>
    <t>2082102</t>
  </si>
  <si>
    <t>13、其他生活救助</t>
  </si>
  <si>
    <t>其他农村生活救助</t>
  </si>
  <si>
    <t>2082502</t>
  </si>
  <si>
    <t>14、财政对基本养老保险基金的补助</t>
  </si>
  <si>
    <t>财政对企业职工基本养老保险基金的补助</t>
  </si>
  <si>
    <t>2082601</t>
  </si>
  <si>
    <t>财政对城乡居民基本养老保险基金的补助</t>
  </si>
  <si>
    <t>2082602</t>
  </si>
  <si>
    <t>15、退役军人管理事务</t>
  </si>
  <si>
    <t>2082801</t>
  </si>
  <si>
    <t>2082802</t>
  </si>
  <si>
    <t>拥军优属</t>
  </si>
  <si>
    <t>2082804</t>
  </si>
  <si>
    <t>2082850</t>
  </si>
  <si>
    <t>16、其他社会保障和就业支出</t>
  </si>
  <si>
    <t>其他社会保障和就业支出</t>
  </si>
  <si>
    <t>2089999</t>
  </si>
  <si>
    <t>八、卫生健康支出</t>
  </si>
  <si>
    <t>减少疫情防控支出。</t>
  </si>
  <si>
    <t>1、卫生健康管理事务</t>
  </si>
  <si>
    <t>2100101</t>
  </si>
  <si>
    <t>2100102</t>
  </si>
  <si>
    <t>其他卫生健康管理事务支出</t>
  </si>
  <si>
    <t>2100199</t>
  </si>
  <si>
    <t>2、公立医院</t>
  </si>
  <si>
    <t>综合医院</t>
  </si>
  <si>
    <t>2100201</t>
  </si>
  <si>
    <t>中医（民族）医院</t>
  </si>
  <si>
    <t>2100202</t>
  </si>
  <si>
    <t>中医(民族)医院</t>
  </si>
  <si>
    <t>精神病医院</t>
  </si>
  <si>
    <t>2100205</t>
  </si>
  <si>
    <t>妇幼保健医院</t>
  </si>
  <si>
    <t>2100206</t>
  </si>
  <si>
    <t>3、基层医疗卫生机构</t>
  </si>
  <si>
    <t>乡镇卫生院</t>
  </si>
  <si>
    <t>2100302</t>
  </si>
  <si>
    <t>其他基层医疗卫生机构支出</t>
  </si>
  <si>
    <t>2100399</t>
  </si>
  <si>
    <t>4、公共卫生</t>
  </si>
  <si>
    <t>疾病预防控制机构</t>
  </si>
  <si>
    <t>2100401</t>
  </si>
  <si>
    <t>卫生监督机构</t>
  </si>
  <si>
    <t>2100402</t>
  </si>
  <si>
    <t>妇幼保健机构</t>
  </si>
  <si>
    <t>2100403</t>
  </si>
  <si>
    <t>基本公共卫生服务</t>
  </si>
  <si>
    <t>2100408</t>
  </si>
  <si>
    <t>突发公共卫生事件应急处理</t>
  </si>
  <si>
    <t>2100410</t>
  </si>
  <si>
    <t>其他公共卫生支出</t>
  </si>
  <si>
    <t>2100499</t>
  </si>
  <si>
    <t>5、中医药</t>
  </si>
  <si>
    <t>中医(民族医)药专项</t>
  </si>
  <si>
    <t>2100601</t>
  </si>
  <si>
    <t>6、计划生育事务</t>
  </si>
  <si>
    <t>计划生育机构</t>
  </si>
  <si>
    <t>2100716</t>
  </si>
  <si>
    <t>计划生育服务</t>
  </si>
  <si>
    <t>2100717</t>
  </si>
  <si>
    <t>其他计划生育事务支出</t>
  </si>
  <si>
    <t>2100799</t>
  </si>
  <si>
    <t>7、行政事业单位医疗</t>
  </si>
  <si>
    <t>行政单位医疗</t>
  </si>
  <si>
    <t>2101101</t>
  </si>
  <si>
    <t>事业单位医疗</t>
  </si>
  <si>
    <t>2101102</t>
  </si>
  <si>
    <t>8、财政对基本医疗保险基金的补助</t>
  </si>
  <si>
    <t>财政对城乡居民基本医疗保险基金的补助</t>
  </si>
  <si>
    <t>2101202</t>
  </si>
  <si>
    <t>9、医疗救助</t>
  </si>
  <si>
    <t>城乡医疗救助</t>
  </si>
  <si>
    <t>2101301</t>
  </si>
  <si>
    <t>10、优抚对象医疗</t>
  </si>
  <si>
    <t>优抚对象医疗补助</t>
  </si>
  <si>
    <t>2101401</t>
  </si>
  <si>
    <t>11.医疗保障管理事务</t>
  </si>
  <si>
    <t>2101499</t>
  </si>
  <si>
    <t>其他优抚对象医疗支出</t>
  </si>
  <si>
    <t xml:space="preserve">    信息化建设</t>
  </si>
  <si>
    <t>2101504</t>
  </si>
  <si>
    <t>12、老龄卫生健康事务</t>
  </si>
  <si>
    <t>老龄卫生健康事务</t>
  </si>
  <si>
    <t>13、其他卫生健康支出</t>
  </si>
  <si>
    <t>其他卫生健康支出</t>
  </si>
  <si>
    <t>2109999</t>
  </si>
  <si>
    <t>九、节能环保支出</t>
  </si>
  <si>
    <t>增加农村生活污水治理专项经费。</t>
  </si>
  <si>
    <t>1、环境保护管理事务</t>
  </si>
  <si>
    <t>2110102</t>
  </si>
  <si>
    <t>其他环境保护管理事务支出</t>
  </si>
  <si>
    <t>2、污染防治</t>
  </si>
  <si>
    <t>大气</t>
  </si>
  <si>
    <t>2110301</t>
  </si>
  <si>
    <t>水体</t>
  </si>
  <si>
    <t>2110302</t>
  </si>
  <si>
    <t>3、自然生态保护</t>
  </si>
  <si>
    <t>农村环境保护</t>
  </si>
  <si>
    <t>2110402</t>
  </si>
  <si>
    <t>4、污染减排</t>
  </si>
  <si>
    <t>减排专项支出</t>
  </si>
  <si>
    <t>2111103</t>
  </si>
  <si>
    <t>清洁生产专项支出</t>
  </si>
  <si>
    <t>2111104</t>
  </si>
  <si>
    <t>5、循环经济</t>
  </si>
  <si>
    <t>循环经济</t>
  </si>
  <si>
    <t>2111301</t>
  </si>
  <si>
    <t>6、其他节能环保支出</t>
  </si>
  <si>
    <t>其他节能环保支出</t>
  </si>
  <si>
    <t>十、城乡社区支出</t>
  </si>
  <si>
    <t>增加城乡品质功能提升、教育配套资金投入。</t>
  </si>
  <si>
    <t>1、城乡社区管理事务</t>
  </si>
  <si>
    <t>2120101</t>
  </si>
  <si>
    <t>2120102</t>
  </si>
  <si>
    <t>城管执法</t>
  </si>
  <si>
    <t>2120104</t>
  </si>
  <si>
    <t>其他城乡社区管理事务支出</t>
  </si>
  <si>
    <t>2120199</t>
  </si>
  <si>
    <t>2、城乡社区规划与管理</t>
  </si>
  <si>
    <t>城乡社区规划与管理</t>
  </si>
  <si>
    <t>2120201</t>
  </si>
  <si>
    <t>3、城乡社区公共设施</t>
  </si>
  <si>
    <t>小城镇基础设施建设</t>
  </si>
  <si>
    <t>2120303</t>
  </si>
  <si>
    <t>其他城乡社区公共设施支出</t>
  </si>
  <si>
    <t>2120399</t>
  </si>
  <si>
    <t>4、城乡社区环境卫生</t>
  </si>
  <si>
    <t>城乡社区环境卫生</t>
  </si>
  <si>
    <t>2120501</t>
  </si>
  <si>
    <t>5、其他城乡社区支出</t>
  </si>
  <si>
    <t>2129999</t>
  </si>
  <si>
    <t>其他城乡社区支出</t>
  </si>
  <si>
    <t>十一、农林水支出</t>
  </si>
  <si>
    <t>加大三农资金投入。</t>
  </si>
  <si>
    <t>1、农业农村</t>
  </si>
  <si>
    <t>2130101</t>
  </si>
  <si>
    <t>2130102</t>
  </si>
  <si>
    <t>2130104</t>
  </si>
  <si>
    <t>科技转化与推广服务</t>
  </si>
  <si>
    <t>2130106</t>
  </si>
  <si>
    <t>病虫害控制</t>
  </si>
  <si>
    <t>2130108</t>
  </si>
  <si>
    <t>农产品质量安全</t>
  </si>
  <si>
    <t>2130109</t>
  </si>
  <si>
    <t>执法监管</t>
  </si>
  <si>
    <t>2130110</t>
  </si>
  <si>
    <t>统计监测与信息服务</t>
  </si>
  <si>
    <t>2130111</t>
  </si>
  <si>
    <t>防灾救灾</t>
  </si>
  <si>
    <t>2130119</t>
  </si>
  <si>
    <t>农业生产发展</t>
  </si>
  <si>
    <t>2130122</t>
  </si>
  <si>
    <t>农村合作经济</t>
  </si>
  <si>
    <t>2130124</t>
  </si>
  <si>
    <t>农产品加工与促销</t>
  </si>
  <si>
    <t>2130125</t>
  </si>
  <si>
    <t>农村社会事业</t>
  </si>
  <si>
    <t>2130126</t>
  </si>
  <si>
    <t>农业资源保护修复与利用</t>
  </si>
  <si>
    <t>2130135</t>
  </si>
  <si>
    <t>农村道路建设</t>
  </si>
  <si>
    <t>2130142</t>
  </si>
  <si>
    <t>渔业建设</t>
  </si>
  <si>
    <t>2130148</t>
  </si>
  <si>
    <t>渔业发展</t>
  </si>
  <si>
    <t>对高校毕业生到基层任职补助</t>
  </si>
  <si>
    <t>农田建设</t>
  </si>
  <si>
    <t>2130153</t>
  </si>
  <si>
    <t>其他农业农村支出</t>
  </si>
  <si>
    <t>2130199</t>
  </si>
  <si>
    <t>2、林业和草原</t>
  </si>
  <si>
    <t>2130201</t>
  </si>
  <si>
    <t>2130202</t>
  </si>
  <si>
    <t>事业机构</t>
  </si>
  <si>
    <t>2130204</t>
  </si>
  <si>
    <t>森林资源培育</t>
  </si>
  <si>
    <t>2130205</t>
  </si>
  <si>
    <t>技术推广与转化</t>
  </si>
  <si>
    <t>2130206</t>
  </si>
  <si>
    <t>森林资源管理</t>
  </si>
  <si>
    <t>2130207</t>
  </si>
  <si>
    <t>森林生态效益补偿</t>
  </si>
  <si>
    <t>2130209</t>
  </si>
  <si>
    <t>执法与监督</t>
  </si>
  <si>
    <t>2130213</t>
  </si>
  <si>
    <t>产业化管理</t>
  </si>
  <si>
    <t>2130221</t>
  </si>
  <si>
    <t>林业草原防灾减灾</t>
  </si>
  <si>
    <t>2130234</t>
  </si>
  <si>
    <t>其他林业和草原支出</t>
  </si>
  <si>
    <t>2130299</t>
  </si>
  <si>
    <t>3、水利</t>
  </si>
  <si>
    <t>2130301</t>
  </si>
  <si>
    <t>2130302</t>
  </si>
  <si>
    <t>水利行业业务管理</t>
  </si>
  <si>
    <t>2130304</t>
  </si>
  <si>
    <t>水利工程建设</t>
  </si>
  <si>
    <t>2130305</t>
  </si>
  <si>
    <t>水利工程运行与维护</t>
  </si>
  <si>
    <t>2130306</t>
  </si>
  <si>
    <t>水利执法监督</t>
  </si>
  <si>
    <t>2130309</t>
  </si>
  <si>
    <t>水土保持</t>
  </si>
  <si>
    <t>2130310</t>
  </si>
  <si>
    <t>水资源节约管理与保护</t>
  </si>
  <si>
    <t>2130311</t>
  </si>
  <si>
    <t>水质监测</t>
  </si>
  <si>
    <t>防汛</t>
  </si>
  <si>
    <t>2130314</t>
  </si>
  <si>
    <t>农村水利</t>
  </si>
  <si>
    <t>2130316</t>
  </si>
  <si>
    <t>江河湖库水系综合整治</t>
  </si>
  <si>
    <t>2130319</t>
  </si>
  <si>
    <t>大中型水库移民后期扶持专项支出</t>
  </si>
  <si>
    <t>2130321</t>
  </si>
  <si>
    <t>水利建设征地及移民支出</t>
  </si>
  <si>
    <t>2130334</t>
  </si>
  <si>
    <t>其他水利支出</t>
  </si>
  <si>
    <t>2130399</t>
  </si>
  <si>
    <t>4、巩固脱贫攻坚成果衔接乡村振兴</t>
  </si>
  <si>
    <t>农村基础设施建设</t>
  </si>
  <si>
    <t>2130504</t>
  </si>
  <si>
    <t>生产发展</t>
  </si>
  <si>
    <t>其他巩固脱贫攻坚成果衔接乡村振兴支出</t>
  </si>
  <si>
    <t>2130599</t>
  </si>
  <si>
    <t>5、农村综合改革</t>
  </si>
  <si>
    <t>对村民委员会和村党支部的补助</t>
  </si>
  <si>
    <t>2130705</t>
  </si>
  <si>
    <t>其他农村综合改革支出</t>
  </si>
  <si>
    <t>2130799</t>
  </si>
  <si>
    <t>6、普惠金融发展支出</t>
  </si>
  <si>
    <t>农业保险保费补贴</t>
  </si>
  <si>
    <t>2130803</t>
  </si>
  <si>
    <t>创业担保贷款贴息</t>
  </si>
  <si>
    <t>2130804</t>
  </si>
  <si>
    <t>创业担保贷款贴息及奖补</t>
  </si>
  <si>
    <t>其他普惠金融发展支出</t>
  </si>
  <si>
    <t>2130899</t>
  </si>
  <si>
    <t>7、其他农林水支出</t>
  </si>
  <si>
    <t>其他农林水支出</t>
  </si>
  <si>
    <t>2139999</t>
  </si>
  <si>
    <t>十二、交通运输支出</t>
  </si>
  <si>
    <t>减少新增债券支出。</t>
  </si>
  <si>
    <t>1、公路水路运输</t>
  </si>
  <si>
    <t>2140101</t>
  </si>
  <si>
    <t>2140102</t>
  </si>
  <si>
    <t>公路建设</t>
  </si>
  <si>
    <t>2140104</t>
  </si>
  <si>
    <t>公路养护</t>
  </si>
  <si>
    <t>其他公路水路运输支出</t>
  </si>
  <si>
    <t>2140199</t>
  </si>
  <si>
    <t>十三、资源勘探工业信息等支出</t>
  </si>
  <si>
    <t>增加企业中小专项资金。</t>
  </si>
  <si>
    <t>1、支持中小企业发展和管理支出</t>
  </si>
  <si>
    <t xml:space="preserve">  中小企业发展专项</t>
  </si>
  <si>
    <t>2150805</t>
  </si>
  <si>
    <t>中小企业发展专项</t>
  </si>
  <si>
    <t>其他支持中小企业发展和管理支出</t>
  </si>
  <si>
    <t>2150899</t>
  </si>
  <si>
    <t>2、其他资源勘探工业信息等支出</t>
  </si>
  <si>
    <t>其他资源勘探工业信息等支出</t>
  </si>
  <si>
    <t>2159999</t>
  </si>
  <si>
    <t>十四、商业服务业等支出</t>
  </si>
  <si>
    <t>加大电商平台建设。</t>
  </si>
  <si>
    <t>1、商业流通事务</t>
  </si>
  <si>
    <t xml:space="preserve">   事业运行</t>
  </si>
  <si>
    <t>2160250</t>
  </si>
  <si>
    <t>其他商业流通事务支出</t>
  </si>
  <si>
    <t>2160299</t>
  </si>
  <si>
    <t>2、涉外发展服务支出</t>
  </si>
  <si>
    <t>2160601</t>
  </si>
  <si>
    <t>2160602</t>
  </si>
  <si>
    <t>其他涉外发展服务支出</t>
  </si>
  <si>
    <t>2160699</t>
  </si>
  <si>
    <t>十五、金融支出</t>
  </si>
  <si>
    <t>1、其他金融支出</t>
  </si>
  <si>
    <t>其他金融支出</t>
  </si>
  <si>
    <t>2179999</t>
  </si>
  <si>
    <t>十六、自然资源海洋气象等支出</t>
  </si>
  <si>
    <t>1、自然资源事务</t>
  </si>
  <si>
    <t>2200101</t>
  </si>
  <si>
    <t>2200102</t>
  </si>
  <si>
    <t>自然资源规划及管理</t>
  </si>
  <si>
    <t>自然资源利用与保护</t>
  </si>
  <si>
    <t>2200106</t>
  </si>
  <si>
    <t>自然资源调查与确权登记</t>
  </si>
  <si>
    <t>2200109</t>
  </si>
  <si>
    <t>地质勘查与矿产资源管理</t>
  </si>
  <si>
    <t>2200114</t>
  </si>
  <si>
    <t>海域与海岛管理</t>
  </si>
  <si>
    <t>2200120</t>
  </si>
  <si>
    <t>海洋战略规划与预警监测</t>
  </si>
  <si>
    <t>2200128</t>
  </si>
  <si>
    <t>基础测绘与地理信息监管</t>
  </si>
  <si>
    <t>2200129</t>
  </si>
  <si>
    <t>其他自然资源事务支出</t>
  </si>
  <si>
    <t>2200199</t>
  </si>
  <si>
    <t>2、气象事务</t>
  </si>
  <si>
    <r>
      <rPr>
        <b/>
        <sz val="12"/>
        <color rgb="FF000000"/>
        <rFont val="宋体"/>
        <charset val="134"/>
      </rPr>
      <t xml:space="preserve">  </t>
    </r>
    <r>
      <rPr>
        <sz val="12"/>
        <color rgb="FF000000"/>
        <rFont val="宋体"/>
        <charset val="134"/>
      </rPr>
      <t>行政运行</t>
    </r>
  </si>
  <si>
    <t>2200501</t>
  </si>
  <si>
    <t>气象事业机构</t>
  </si>
  <si>
    <t>2200504</t>
  </si>
  <si>
    <t>气象探测</t>
  </si>
  <si>
    <t>2200506</t>
  </si>
  <si>
    <t>气象预报预测</t>
  </si>
  <si>
    <t>2200508</t>
  </si>
  <si>
    <t>气象服务</t>
  </si>
  <si>
    <t>2200509</t>
  </si>
  <si>
    <t>气象装备保障维护</t>
  </si>
  <si>
    <t>2200510</t>
  </si>
  <si>
    <t>十七、住房保障支出</t>
  </si>
  <si>
    <t>增加老旧小区改造配套基础设施建设资金投入。</t>
  </si>
  <si>
    <t>1、保障性安居工程支出</t>
  </si>
  <si>
    <t>农村危房改造</t>
  </si>
  <si>
    <t>2210105</t>
  </si>
  <si>
    <t>公共租赁住房</t>
  </si>
  <si>
    <t>2210106</t>
  </si>
  <si>
    <t>老旧小区改造</t>
  </si>
  <si>
    <t>2210108</t>
  </si>
  <si>
    <t>其他保障性安居工程支出</t>
  </si>
  <si>
    <t>2210199</t>
  </si>
  <si>
    <t>十八、粮油物资储备支出</t>
  </si>
  <si>
    <t>1、粮油物资事务</t>
  </si>
  <si>
    <t>2220115</t>
  </si>
  <si>
    <t>粮食风险基金</t>
  </si>
  <si>
    <t>其他粮油物资事务支出</t>
  </si>
  <si>
    <t>2、重要商品储备</t>
  </si>
  <si>
    <t>应急物资储备</t>
  </si>
  <si>
    <t>2220511</t>
  </si>
  <si>
    <t>十九、灾害防治及应急管理支出</t>
  </si>
  <si>
    <t>增加灾后重建支出。</t>
  </si>
  <si>
    <t>1、应急管理事务</t>
  </si>
  <si>
    <t>2240101</t>
  </si>
  <si>
    <t>2240102</t>
  </si>
  <si>
    <t>安全监管</t>
  </si>
  <si>
    <t>2240106</t>
  </si>
  <si>
    <t>应急救援</t>
  </si>
  <si>
    <t>2240108</t>
  </si>
  <si>
    <t>应急管理</t>
  </si>
  <si>
    <t>2240109</t>
  </si>
  <si>
    <t>2240150</t>
  </si>
  <si>
    <t>其他应急管理支出</t>
  </si>
  <si>
    <t>2240199</t>
  </si>
  <si>
    <t>2、消防事务</t>
  </si>
  <si>
    <t>消防应急救援</t>
  </si>
  <si>
    <t>2240204</t>
  </si>
  <si>
    <t>其他消防救援事务支出</t>
  </si>
  <si>
    <t>2240299</t>
  </si>
  <si>
    <t>3、地震事务</t>
  </si>
  <si>
    <t>地震灾害预防</t>
  </si>
  <si>
    <t>2240506</t>
  </si>
  <si>
    <t>4、自然灾害防治</t>
  </si>
  <si>
    <t>地质灾害防治</t>
  </si>
  <si>
    <t>2240601</t>
  </si>
  <si>
    <t>森林草原防灾减灾</t>
  </si>
  <si>
    <t>2240602</t>
  </si>
  <si>
    <t>其他自然灾害防治支出</t>
  </si>
  <si>
    <t>2240699</t>
  </si>
  <si>
    <t>5、自然灾害救灾及恢复重建支出</t>
  </si>
  <si>
    <t>自然灾害灾后重建补助</t>
  </si>
  <si>
    <t>2240703</t>
  </si>
  <si>
    <t>自然灾害救灾补助</t>
  </si>
  <si>
    <t>其他自然灾害救灾及恢复重建支出</t>
  </si>
  <si>
    <t>2240704</t>
  </si>
  <si>
    <t>二十、预备费</t>
  </si>
  <si>
    <t>2240799</t>
  </si>
  <si>
    <t>二十一、其他支出</t>
  </si>
  <si>
    <t>增加幼儿园保育保教费支出及清算2022年绩效公积金。</t>
  </si>
  <si>
    <t>2290201</t>
  </si>
  <si>
    <t>年初预留</t>
  </si>
  <si>
    <t>1、年初预留</t>
  </si>
  <si>
    <t>2299999</t>
  </si>
  <si>
    <t>其他支出</t>
  </si>
  <si>
    <t>2、其他支出</t>
  </si>
  <si>
    <t>2302101</t>
  </si>
  <si>
    <t>援助其他地区支出</t>
  </si>
  <si>
    <t>二十二、债务还本支出</t>
  </si>
  <si>
    <t>2310301</t>
  </si>
  <si>
    <t>地方政府一般债券还本支出</t>
  </si>
  <si>
    <t>1、地方政府一般债务还本支出</t>
  </si>
  <si>
    <t>2320301</t>
  </si>
  <si>
    <t>地方政府一般债券付息支出</t>
  </si>
  <si>
    <t>23303</t>
  </si>
  <si>
    <t>地方政府一般债务发行费用支出</t>
  </si>
  <si>
    <t>二十三、债务付息支出</t>
  </si>
  <si>
    <t>1、地方政府一般债务付息支出</t>
  </si>
  <si>
    <t>二十四、债务发行费用支出</t>
  </si>
  <si>
    <t>1、地方政府一般债务发行费用支出</t>
  </si>
  <si>
    <t>总合计</t>
  </si>
  <si>
    <t>表三：</t>
  </si>
  <si>
    <t>2023年一般公共预算支出经济分类情况表</t>
  </si>
  <si>
    <t>科目名称</t>
  </si>
  <si>
    <t>2023年预算数</t>
  </si>
  <si>
    <t>2023年调整预算数</t>
  </si>
  <si>
    <t>2023年执行数</t>
  </si>
  <si>
    <t>一、机关工资福利支出</t>
  </si>
  <si>
    <t>501</t>
  </si>
  <si>
    <t>二、机关商品和服务支出</t>
  </si>
  <si>
    <t>502</t>
  </si>
  <si>
    <t>三、机关资本性支出（一）</t>
  </si>
  <si>
    <t>503</t>
  </si>
  <si>
    <t>四、机关资本性支出（二）</t>
  </si>
  <si>
    <t>504</t>
  </si>
  <si>
    <t>五、对事业单位经常性补助</t>
  </si>
  <si>
    <t>505</t>
  </si>
  <si>
    <t>六、对事业单位资本性补助</t>
  </si>
  <si>
    <t>506</t>
  </si>
  <si>
    <t>七、对企业补助</t>
  </si>
  <si>
    <t>507</t>
  </si>
  <si>
    <t>八、对企业资本性支出</t>
  </si>
  <si>
    <t>508</t>
  </si>
  <si>
    <t>九、对个人和家庭的补助</t>
  </si>
  <si>
    <t>509</t>
  </si>
  <si>
    <t>十、对社会保障基金补助</t>
  </si>
  <si>
    <t>510</t>
  </si>
  <si>
    <t>十一、债务利息及费用支出</t>
  </si>
  <si>
    <t>511</t>
  </si>
  <si>
    <t>十二、债务还本支出</t>
  </si>
  <si>
    <t>512</t>
  </si>
  <si>
    <t>十三、预备费及预留</t>
  </si>
  <si>
    <t>513</t>
  </si>
  <si>
    <t>十四、其他支出</t>
  </si>
  <si>
    <t>599</t>
  </si>
  <si>
    <t>合  计</t>
  </si>
  <si>
    <t>表四：</t>
  </si>
  <si>
    <t>2024年一般公共预算收入情况表</t>
  </si>
  <si>
    <t>2023年调整后预算数</t>
  </si>
  <si>
    <r>
      <rPr>
        <b/>
        <sz val="12"/>
        <rFont val="宋体"/>
        <charset val="134"/>
      </rPr>
      <t>2</t>
    </r>
    <r>
      <rPr>
        <b/>
        <sz val="12"/>
        <rFont val="宋体"/>
        <charset val="134"/>
      </rPr>
      <t>020</t>
    </r>
    <r>
      <rPr>
        <b/>
        <sz val="12"/>
        <rFont val="宋体"/>
        <charset val="134"/>
      </rPr>
      <t>年调整      预算数</t>
    </r>
  </si>
  <si>
    <t>2023年     收入完成数
（预计数）</t>
  </si>
  <si>
    <t>2024年收入</t>
  </si>
  <si>
    <t>增长%</t>
  </si>
  <si>
    <t xml:space="preserve">   一般公共预算收入中税性比重%</t>
  </si>
  <si>
    <t>表五：</t>
  </si>
  <si>
    <t>2024年一般公共预算支出情况表</t>
  </si>
  <si>
    <t>2023年
预算数</t>
  </si>
  <si>
    <t>2024年
预算数</t>
  </si>
  <si>
    <t>省市
专项</t>
  </si>
  <si>
    <t>其他财政业务支出</t>
  </si>
  <si>
    <t>10、商贸事务</t>
  </si>
  <si>
    <t>13、民主党派及工商联事务</t>
  </si>
  <si>
    <t>其他群众团体事务支出</t>
  </si>
  <si>
    <t>食品安全监督</t>
  </si>
  <si>
    <t>信访业务</t>
  </si>
  <si>
    <t>其他信访事务支出</t>
  </si>
  <si>
    <t>21、其他一般公共服务支出</t>
  </si>
  <si>
    <t>1、军费</t>
  </si>
  <si>
    <t>3、国家安全</t>
  </si>
  <si>
    <t>4、司法</t>
  </si>
  <si>
    <t>公共法律服务</t>
  </si>
  <si>
    <t>5、其他科学技术支出</t>
  </si>
  <si>
    <t>其他体育支出</t>
  </si>
  <si>
    <t>其他行政事业单位离退休支出</t>
  </si>
  <si>
    <t>社会福利事业单位</t>
  </si>
  <si>
    <t>13、其他生活补助</t>
  </si>
  <si>
    <t>其他退役军人事务管理支出</t>
  </si>
  <si>
    <t>减少疫情应急贷预算支出。</t>
  </si>
  <si>
    <t>其他公立医院支出</t>
  </si>
  <si>
    <t>城市社区卫生机构</t>
  </si>
  <si>
    <t>突发公共卫生事件应急处置</t>
  </si>
  <si>
    <t>5、计划生育事务</t>
  </si>
  <si>
    <t>6、行政事业单位医疗</t>
  </si>
  <si>
    <t>7、财政对基本医疗保险基金的补助</t>
  </si>
  <si>
    <t>8、医疗救助</t>
  </si>
  <si>
    <t>9、优抚对象医疗</t>
  </si>
  <si>
    <t>10、医疗保障管理事务</t>
  </si>
  <si>
    <t>11、老龄卫生健康事务</t>
  </si>
  <si>
    <t>12、中医药事务</t>
  </si>
  <si>
    <t>中医（民族医）药专项</t>
  </si>
  <si>
    <t>减少小城镇基础设施建设支出。</t>
  </si>
  <si>
    <t>行业业务管理</t>
  </si>
  <si>
    <t>稳定农民收入补贴</t>
  </si>
  <si>
    <t>农业生态资源保护</t>
  </si>
  <si>
    <t>耕地建设与利用</t>
  </si>
  <si>
    <t>水利安全监督</t>
  </si>
  <si>
    <t>对村级公益事业建设的补助</t>
  </si>
  <si>
    <t>对村集体经济组织的补助</t>
  </si>
  <si>
    <t>其他公路水路运输</t>
  </si>
  <si>
    <t>减少中小企业发展专项支出。</t>
  </si>
  <si>
    <t>上市办工作经费。</t>
  </si>
  <si>
    <t>减少老旧小区改造支出。</t>
  </si>
  <si>
    <t>1、粮油事务</t>
  </si>
  <si>
    <t>绩效改革，增加消防大队绩效工资。</t>
  </si>
  <si>
    <t>2、消防救援事务</t>
  </si>
  <si>
    <t>3、自然灾害防治</t>
  </si>
  <si>
    <t>减少补缴清算2022年绩效改革住房公积金等。</t>
  </si>
  <si>
    <t>预备费</t>
  </si>
  <si>
    <t>总  合  计</t>
  </si>
  <si>
    <t>表六：</t>
  </si>
  <si>
    <t>2024年一般公共预算支出经济分类情况表</t>
  </si>
  <si>
    <t>2024年预算数</t>
  </si>
  <si>
    <t>八、对个人和家庭的补助</t>
  </si>
  <si>
    <t>九、对社会保障基金补助</t>
  </si>
  <si>
    <t>十、债务利息及费用支出</t>
  </si>
  <si>
    <t>十一、债务还本支出</t>
  </si>
  <si>
    <t>十二、转移性支出</t>
  </si>
  <si>
    <t>表七：</t>
  </si>
  <si>
    <t>2024年一般公共预算基本支出经济分类情况表</t>
  </si>
  <si>
    <t>项   目</t>
  </si>
  <si>
    <t>当年预算数为　　　　　　上年预算数的％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</si>
  <si>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</si>
  <si>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</si>
  <si>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</si>
  <si>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</si>
  <si>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</si>
  <si>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</si>
  <si>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</si>
  <si>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</si>
  <si>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</si>
  <si>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</si>
  <si>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</si>
  <si>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</si>
  <si>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</si>
  <si>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</si>
  <si>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公务用车购置</t>
  </si>
  <si>
    <t>设备购置</t>
  </si>
  <si>
    <t>其他资本性支出</t>
  </si>
  <si>
    <t>四、对事业单位经常性补助</t>
  </si>
  <si>
    <t>工资福利支出</t>
  </si>
  <si>
    <t>商品和服务支出</t>
  </si>
  <si>
    <t>五、对事业单位资本性补助</t>
  </si>
  <si>
    <t>资本性支出（一）</t>
  </si>
  <si>
    <t>资本性支出（二）</t>
  </si>
  <si>
    <t>六、对企业补助</t>
  </si>
  <si>
    <t>费用补贴</t>
  </si>
  <si>
    <t>七、对个人和家庭的补助</t>
  </si>
  <si>
    <t>社会福利和救助</t>
  </si>
  <si>
    <t>其他对个人和家庭补助</t>
  </si>
  <si>
    <t>合   计</t>
  </si>
  <si>
    <t>表八:</t>
  </si>
  <si>
    <t>2024年“三保”支出预算情况表</t>
  </si>
  <si>
    <t>项目（类）</t>
  </si>
  <si>
    <t>科目</t>
  </si>
  <si>
    <t>项目（项）</t>
  </si>
  <si>
    <t>支出数</t>
  </si>
  <si>
    <t>其中：</t>
  </si>
  <si>
    <t>本级财力安排</t>
  </si>
  <si>
    <t>可用于“三保”的专项转移支付收入</t>
  </si>
  <si>
    <t>“三保”支出合计</t>
  </si>
  <si>
    <t>一、保工资</t>
  </si>
  <si>
    <t>人员经费</t>
  </si>
  <si>
    <t>二、保运转</t>
  </si>
  <si>
    <t>公用经费</t>
  </si>
  <si>
    <t>三、保基本民生</t>
  </si>
  <si>
    <t>民生支出</t>
  </si>
  <si>
    <t>财力</t>
  </si>
  <si>
    <t>上级专项=</t>
  </si>
  <si>
    <t>教育类支出</t>
  </si>
  <si>
    <t>学前教育幼儿资助</t>
  </si>
  <si>
    <t>城乡义务教育生均公用经费</t>
  </si>
  <si>
    <t>义务教育阶段特殊教育学校和随班就读残疾学生生均公用经费</t>
  </si>
  <si>
    <t>义务教育免费提供教科书</t>
  </si>
  <si>
    <t>家庭经济困难学生生活补助</t>
  </si>
  <si>
    <t>普通高中学生资助</t>
  </si>
  <si>
    <t>中职教育学生资助</t>
  </si>
  <si>
    <t>农村义务教育学生营养改善计划</t>
  </si>
  <si>
    <t>文化类支出</t>
  </si>
  <si>
    <t>博物馆、纪念馆免费开放补助和公共美术馆、图书馆、文化馆站免费开放补助</t>
  </si>
  <si>
    <t>社会保障类支出</t>
  </si>
  <si>
    <t>困难群众救助</t>
  </si>
  <si>
    <t>残疾人补贴</t>
  </si>
  <si>
    <t>城乡居民基本养老保险</t>
  </si>
  <si>
    <t>财政对企业职工养老保险的补助</t>
  </si>
  <si>
    <t>财政对机关事业单位养老保险的补助</t>
  </si>
  <si>
    <t>老年人福利补贴</t>
  </si>
  <si>
    <t>就业见习服务</t>
  </si>
  <si>
    <t>就业见习补贴</t>
  </si>
  <si>
    <t>优抚对象抚恤和生活补助经费</t>
  </si>
  <si>
    <t>义务兵优待金</t>
  </si>
  <si>
    <t>卫生健康类支出</t>
  </si>
  <si>
    <t>退役安置支出</t>
  </si>
  <si>
    <t>城乡居民基本医疗保险</t>
  </si>
  <si>
    <t>计划生育支出</t>
  </si>
  <si>
    <t>村级支出</t>
  </si>
  <si>
    <t>其他基本民生支出</t>
  </si>
  <si>
    <t>表九:</t>
  </si>
  <si>
    <t>2024年“三保”支出预算财力安排情况表</t>
  </si>
  <si>
    <t>项目具体名称</t>
  </si>
  <si>
    <t>可用财力小计</t>
  </si>
  <si>
    <t>地方一般公共预算收入</t>
  </si>
  <si>
    <t>上级补助收入</t>
  </si>
  <si>
    <t>税收返还收入</t>
  </si>
  <si>
    <t>一般性转移支付收入(不含共同事权转移支付）</t>
  </si>
  <si>
    <t>可用于“三保”的共同事权转移支付收入</t>
  </si>
  <si>
    <t>三、保民生</t>
  </si>
  <si>
    <t>政府性基金2023年预算执行情况及2024年预算表</t>
  </si>
  <si>
    <r>
      <rPr>
        <sz val="12"/>
        <color rgb="FF000000"/>
        <rFont val="宋体"/>
        <charset val="134"/>
      </rPr>
      <t>一、</t>
    </r>
    <r>
      <rPr>
        <sz val="12"/>
        <color rgb="FF000000"/>
        <rFont val="Times New Roman"/>
        <charset val="134"/>
      </rPr>
      <t>2023</t>
    </r>
    <r>
      <rPr>
        <sz val="12"/>
        <color rgb="FF000000"/>
        <rFont val="宋体"/>
        <charset val="134"/>
      </rPr>
      <t>年政府性基金收入完成情况表</t>
    </r>
    <r>
      <rPr>
        <sz val="12"/>
        <color rgb="FF000000"/>
        <rFont val="Times New Roman"/>
        <charset val="134"/>
      </rPr>
      <t>..................................................................................................</t>
    </r>
  </si>
  <si>
    <r>
      <rPr>
        <sz val="12"/>
        <color rgb="FF000000"/>
        <rFont val="宋体"/>
        <charset val="134"/>
      </rPr>
      <t>二、</t>
    </r>
    <r>
      <rPr>
        <sz val="12"/>
        <color rgb="FF000000"/>
        <rFont val="Times New Roman"/>
        <charset val="134"/>
      </rPr>
      <t>2023</t>
    </r>
    <r>
      <rPr>
        <sz val="12"/>
        <color rgb="FF000000"/>
        <rFont val="宋体"/>
        <charset val="134"/>
      </rPr>
      <t>年政府性基金支出完成情况表</t>
    </r>
    <r>
      <rPr>
        <sz val="12"/>
        <color rgb="FF000000"/>
        <rFont val="Times New Roman"/>
        <charset val="134"/>
      </rPr>
      <t>................................................................................................................</t>
    </r>
  </si>
  <si>
    <r>
      <rPr>
        <sz val="12"/>
        <color rgb="FF000000"/>
        <rFont val="宋体"/>
        <charset val="134"/>
      </rPr>
      <t>三、</t>
    </r>
    <r>
      <rPr>
        <sz val="12"/>
        <color rgb="FF000000"/>
        <rFont val="Times New Roman"/>
        <charset val="134"/>
      </rPr>
      <t>2024</t>
    </r>
    <r>
      <rPr>
        <sz val="12"/>
        <color rgb="FF000000"/>
        <rFont val="宋体"/>
        <charset val="134"/>
      </rPr>
      <t>年政府性基金收入预算表</t>
    </r>
    <r>
      <rPr>
        <sz val="12"/>
        <color rgb="FF000000"/>
        <rFont val="Times New Roman"/>
        <charset val="134"/>
      </rPr>
      <t>................................................................................................................</t>
    </r>
  </si>
  <si>
    <r>
      <rPr>
        <sz val="12"/>
        <color rgb="FF000000"/>
        <rFont val="宋体"/>
        <charset val="134"/>
      </rPr>
      <t>四、</t>
    </r>
    <r>
      <rPr>
        <sz val="12"/>
        <color rgb="FF000000"/>
        <rFont val="Times New Roman"/>
        <charset val="134"/>
      </rPr>
      <t>2024</t>
    </r>
    <r>
      <rPr>
        <sz val="12"/>
        <color rgb="FF000000"/>
        <rFont val="宋体"/>
        <charset val="134"/>
      </rPr>
      <t>年政府性基金支出预算表</t>
    </r>
    <r>
      <rPr>
        <sz val="12"/>
        <color rgb="FF000000"/>
        <rFont val="Times New Roman"/>
        <charset val="134"/>
      </rPr>
      <t>.........................................................................................................</t>
    </r>
  </si>
  <si>
    <t>2023年政府性基金收入完成情况表</t>
  </si>
  <si>
    <t>科   目</t>
  </si>
  <si>
    <t>2023年        预算</t>
  </si>
  <si>
    <t>2023年   调整后        预算</t>
  </si>
  <si>
    <t>一、政府性基金收入</t>
  </si>
  <si>
    <t>（一）国有土地收益基金收入</t>
  </si>
  <si>
    <t>（二）农业土地开发资金收入</t>
  </si>
  <si>
    <t>（三）国有土地使用权出让收入</t>
  </si>
  <si>
    <t>（四）彩票公益金收入</t>
  </si>
  <si>
    <t xml:space="preserve">  其中：福利彩票公益金收入</t>
  </si>
  <si>
    <t xml:space="preserve">        体育彩票公益金收入</t>
  </si>
  <si>
    <r>
      <rPr>
        <sz val="12"/>
        <rFont val="宋体"/>
        <charset val="134"/>
      </rPr>
      <t>（五）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城市基础设施配套费收入</t>
    </r>
  </si>
  <si>
    <t>（六）污水处理费收入</t>
  </si>
  <si>
    <t>（七）其他政府性基金收入</t>
  </si>
  <si>
    <t>二、专项债券对应项目专项收入</t>
  </si>
  <si>
    <t xml:space="preserve">    其他地方自行试点项目收益专项债券转贷收入</t>
  </si>
  <si>
    <t>收入合计</t>
  </si>
  <si>
    <t>2023年政府性基金支出完成情况表</t>
  </si>
  <si>
    <t>2023年预算</t>
  </si>
  <si>
    <t>2023年调整后预算</t>
  </si>
  <si>
    <t>完成调整     后预算%</t>
  </si>
  <si>
    <t>一、政府性基金支出</t>
  </si>
  <si>
    <t>（一）国有土地使用权出让收入安排的支出</t>
  </si>
  <si>
    <t>征地和拆迁补偿支出</t>
  </si>
  <si>
    <t>土地开发支出</t>
  </si>
  <si>
    <t>城市建设支出</t>
  </si>
  <si>
    <t>农村基础设施建设支出</t>
  </si>
  <si>
    <t>补助被征地农民支出</t>
  </si>
  <si>
    <t>土地出让业务支出</t>
  </si>
  <si>
    <t>农业生产发展支出</t>
  </si>
  <si>
    <t>农村社会事业支出</t>
  </si>
  <si>
    <t>农业农村生态环境支出</t>
  </si>
  <si>
    <t>其他国有土地使用权出让收入安排的支出</t>
  </si>
  <si>
    <t>（二）国有土地收益基金安排的支出</t>
  </si>
  <si>
    <t>其他国有土地收益基金支出</t>
  </si>
  <si>
    <t>（三）农业土地开发资金安排的支出</t>
  </si>
  <si>
    <t>（四）城市基础设施配套费安排的支出</t>
  </si>
  <si>
    <t>城市公共设施</t>
  </si>
  <si>
    <t>城市环境卫生</t>
  </si>
  <si>
    <t>其他城市基础设施配套费安排的支出</t>
  </si>
  <si>
    <t>（五）污水处理费安排的支出</t>
  </si>
  <si>
    <t>污水处理设施建设和运营</t>
  </si>
  <si>
    <t>代征手续费</t>
  </si>
  <si>
    <t>（六）彩票公益金安排的支出</t>
  </si>
  <si>
    <t>用于社会福利的彩票公益金支出</t>
  </si>
  <si>
    <t>用于体育事业的彩票公益金支出</t>
  </si>
  <si>
    <t>用于教育事业的彩票公益金支出</t>
  </si>
  <si>
    <t>用于残疾人事业的彩票公益金支出</t>
  </si>
  <si>
    <t>用于文化事业的彩票公益金支出</t>
  </si>
  <si>
    <t>用于扶贫的彩票公益金支出</t>
  </si>
  <si>
    <t>二、转移性支出</t>
  </si>
  <si>
    <t>（一）调出资金</t>
  </si>
  <si>
    <t>政府性基金预算调出资金</t>
  </si>
  <si>
    <t>三、债务付息支出</t>
  </si>
  <si>
    <t>地方政府专项债务付息支出</t>
  </si>
  <si>
    <t>四、债务发行费用支出</t>
  </si>
  <si>
    <t>（一）地方政府专项债务发行费用支出</t>
  </si>
  <si>
    <t>国有土地使用权出让金债务发行费用支出</t>
  </si>
  <si>
    <t>土地储备专项债券发行费用支出</t>
  </si>
  <si>
    <t>其他地方自行试点项目收益专项债券发行费用支出</t>
  </si>
  <si>
    <t>五、其他政府性基金及对应专项债务收入安排的支出</t>
  </si>
  <si>
    <t>其他地方自行试点项目收益专项债券收入安排的支出</t>
  </si>
  <si>
    <t>支出合计</t>
  </si>
  <si>
    <t>2023年政府性基金收入预算表</t>
  </si>
  <si>
    <t>科    目</t>
  </si>
  <si>
    <t>2023年收入完成数</t>
  </si>
  <si>
    <t>其他其他地方自行试点项目收益专项债券转贷收入</t>
  </si>
  <si>
    <t>2024年政府性基金支出预算表</t>
  </si>
  <si>
    <t>2024年    　　预算数</t>
  </si>
  <si>
    <t>农村生产发展支出</t>
  </si>
  <si>
    <t>其他国有土地使用权出让收入安排支出</t>
  </si>
  <si>
    <t>其他污水处理费安排的支出</t>
  </si>
  <si>
    <t>三、债务还本支出</t>
  </si>
  <si>
    <t>地方政府专项债务还本支出</t>
  </si>
  <si>
    <t>地方债券专项债务发行费用支出</t>
  </si>
  <si>
    <t xml:space="preserve">    其他地方自行试点项目收益专项债券收入安排的支出</t>
  </si>
  <si>
    <t xml:space="preserve">第三部分 </t>
  </si>
  <si>
    <t>南安市国有资本经营2023年预算执行情况及2024年预算表</t>
  </si>
  <si>
    <r>
      <rPr>
        <sz val="12"/>
        <color rgb="FF000000"/>
        <rFont val="宋体"/>
        <charset val="134"/>
      </rPr>
      <t>一、南安市</t>
    </r>
    <r>
      <rPr>
        <sz val="12"/>
        <color rgb="FF000000"/>
        <rFont val="Times New Roman"/>
        <charset val="134"/>
      </rPr>
      <t>2024</t>
    </r>
    <r>
      <rPr>
        <sz val="12"/>
        <color rgb="FF000000"/>
        <rFont val="宋体"/>
        <charset val="134"/>
      </rPr>
      <t>年国有资本经营预算收支总表</t>
    </r>
    <r>
      <rPr>
        <sz val="12"/>
        <color rgb="FF000000"/>
        <rFont val="Times New Roman"/>
        <charset val="134"/>
      </rPr>
      <t>.................................................................................</t>
    </r>
  </si>
  <si>
    <r>
      <rPr>
        <sz val="12"/>
        <color rgb="FF000000"/>
        <rFont val="宋体"/>
        <charset val="134"/>
      </rPr>
      <t>二、南安市</t>
    </r>
    <r>
      <rPr>
        <sz val="12"/>
        <color rgb="FF000000"/>
        <rFont val="Times New Roman"/>
        <charset val="134"/>
      </rPr>
      <t>2024</t>
    </r>
    <r>
      <rPr>
        <sz val="12"/>
        <color rgb="FF000000"/>
        <rFont val="宋体"/>
        <charset val="134"/>
      </rPr>
      <t>年国有资本经营预算收入表</t>
    </r>
    <r>
      <rPr>
        <sz val="12"/>
        <color rgb="FF000000"/>
        <rFont val="Times New Roman"/>
        <charset val="134"/>
      </rPr>
      <t>..................................................................</t>
    </r>
  </si>
  <si>
    <r>
      <t>三、南安市</t>
    </r>
    <r>
      <rPr>
        <sz val="12"/>
        <color rgb="FF000000"/>
        <rFont val="Times New Roman"/>
        <charset val="134"/>
      </rPr>
      <t>2024</t>
    </r>
    <r>
      <rPr>
        <sz val="12"/>
        <color rgb="FF000000"/>
        <rFont val="宋体"/>
        <charset val="134"/>
      </rPr>
      <t>年国有资本经营预算支出表</t>
    </r>
    <r>
      <rPr>
        <sz val="12"/>
        <color rgb="FF000000"/>
        <rFont val="Times New Roman"/>
        <charset val="134"/>
      </rPr>
      <t>............................................................................</t>
    </r>
  </si>
  <si>
    <r>
      <t>四、南安市</t>
    </r>
    <r>
      <rPr>
        <sz val="12"/>
        <color rgb="FF000000"/>
        <rFont val="Times New Roman"/>
        <charset val="134"/>
      </rPr>
      <t>2024</t>
    </r>
    <r>
      <rPr>
        <sz val="12"/>
        <color rgb="FF000000"/>
        <rFont val="宋体"/>
        <charset val="134"/>
      </rPr>
      <t>年国有资本经营预算支出项目表</t>
    </r>
    <r>
      <rPr>
        <sz val="12"/>
        <color rgb="FF000000"/>
        <rFont val="Times New Roman"/>
        <charset val="134"/>
      </rPr>
      <t>............................................................</t>
    </r>
  </si>
  <si>
    <r>
      <rPr>
        <sz val="12"/>
        <color rgb="FF000000"/>
        <rFont val="宋体"/>
        <charset val="134"/>
      </rPr>
      <t>五、南安市</t>
    </r>
    <r>
      <rPr>
        <sz val="12"/>
        <color rgb="FF000000"/>
        <rFont val="Times New Roman"/>
        <charset val="134"/>
      </rPr>
      <t>2024</t>
    </r>
    <r>
      <rPr>
        <sz val="12"/>
        <color rgb="FF000000"/>
        <rFont val="宋体"/>
        <charset val="134"/>
      </rPr>
      <t>年国有资本经营预算补充表</t>
    </r>
    <r>
      <rPr>
        <sz val="12"/>
        <color rgb="FF000000"/>
        <rFont val="Times New Roman"/>
        <charset val="134"/>
      </rPr>
      <t>................................................................................</t>
    </r>
  </si>
  <si>
    <t>南安市2024年国有资本经营预算收支总表</t>
  </si>
  <si>
    <t>收          入</t>
  </si>
  <si>
    <t>支          出</t>
  </si>
  <si>
    <t>项        目</t>
  </si>
  <si>
    <t>预算数　　　　为执行数的%</t>
  </si>
  <si>
    <t>预算数比执行数增长%</t>
  </si>
  <si>
    <t>预算数　　　为执行数的%</t>
  </si>
  <si>
    <t>一、利润收入</t>
  </si>
  <si>
    <t>一、社会保障和就业支出</t>
  </si>
  <si>
    <t>二、股利、股息收入</t>
  </si>
  <si>
    <t xml:space="preserve">     补充全国社会保障基金</t>
  </si>
  <si>
    <t>三、产权转让收入</t>
  </si>
  <si>
    <t>二、国有资本经营预算支出</t>
  </si>
  <si>
    <t>四、清算收入</t>
  </si>
  <si>
    <t xml:space="preserve">     其他国有资本经营预算支出</t>
  </si>
  <si>
    <t>五、其他国有资本经营预算收入</t>
  </si>
  <si>
    <t>三、转移性支出</t>
  </si>
  <si>
    <t>调出资金</t>
  </si>
  <si>
    <t>国有资本经营预算调出资金</t>
  </si>
  <si>
    <t>本年收入合计</t>
  </si>
  <si>
    <t>本年支出合计</t>
  </si>
  <si>
    <t>上年结转</t>
  </si>
  <si>
    <t>结转下年</t>
  </si>
  <si>
    <t>收 入 总 计</t>
  </si>
  <si>
    <t>支 出 总 计</t>
  </si>
  <si>
    <t>南安市2024年国有资本经营预算收入表</t>
  </si>
  <si>
    <t>科目名称／企业</t>
  </si>
  <si>
    <t>预算数为执行数的%</t>
  </si>
  <si>
    <t xml:space="preserve">    其他国有资本经营预算企业利润收入</t>
  </si>
  <si>
    <t xml:space="preserve">            本年收入合计</t>
  </si>
  <si>
    <t>南安市2024年国有资本经营预算支出表</t>
  </si>
  <si>
    <t>其他国有资本经营预算支出</t>
  </si>
  <si>
    <t xml:space="preserve">          本年支出合计</t>
  </si>
  <si>
    <t>表四:</t>
  </si>
  <si>
    <t>南安市2024年国有资本经营预算支出项目表</t>
  </si>
  <si>
    <t>合计</t>
  </si>
  <si>
    <t>资本性
支出</t>
  </si>
  <si>
    <t>费用性
支出</t>
  </si>
  <si>
    <t>其他</t>
  </si>
  <si>
    <t xml:space="preserve">    其他国有资本经营预算支出</t>
  </si>
  <si>
    <t xml:space="preserve">      其他国有资本经营预算支出</t>
  </si>
  <si>
    <t>5000</t>
  </si>
  <si>
    <t>2000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</si>
  <si>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050</t>
    </r>
  </si>
  <si>
    <t>南安市2024年国有资本经营预算补充表</t>
  </si>
  <si>
    <t>项      目</t>
  </si>
  <si>
    <t>行次</t>
  </si>
  <si>
    <t>内容</t>
  </si>
  <si>
    <t>一、实施范围</t>
  </si>
  <si>
    <t>——</t>
  </si>
  <si>
    <t>预算单位户数（主管部门）</t>
  </si>
  <si>
    <t>国有及国有控、参股企业户数（法人企业）</t>
  </si>
  <si>
    <t>其中：纳入预算实施范围企业户数（法人企业）</t>
  </si>
  <si>
    <t>是否包括金融企业</t>
  </si>
  <si>
    <t>是</t>
  </si>
  <si>
    <t>是否包括文化企业</t>
  </si>
  <si>
    <t>是否包括部门所属企业</t>
  </si>
  <si>
    <t>否</t>
  </si>
  <si>
    <t>是否包括事业单位出资企业</t>
  </si>
  <si>
    <t>二、主要财务指标</t>
  </si>
  <si>
    <t>（一）国有及国有控、参股企业</t>
  </si>
  <si>
    <t>资产总额合计</t>
  </si>
  <si>
    <t>负债总额合计</t>
  </si>
  <si>
    <t>所有者权益合计</t>
  </si>
  <si>
    <t>利润总额合计</t>
  </si>
  <si>
    <t>净利润合计</t>
  </si>
  <si>
    <t>归属于母公司所有者净利润合计</t>
  </si>
  <si>
    <t>（二）纳入预算实施范围企业</t>
  </si>
  <si>
    <t>三、国有资本收益情况</t>
  </si>
  <si>
    <t>比例类型（单一比例/分类比例）</t>
  </si>
  <si>
    <t>分类比例</t>
  </si>
  <si>
    <t>比例数值</t>
  </si>
  <si>
    <t>20%-30%</t>
  </si>
  <si>
    <t>四、编报情况</t>
  </si>
  <si>
    <t>上报级次（人大/政府）</t>
  </si>
  <si>
    <t>人大</t>
  </si>
  <si>
    <t>上报起始年</t>
  </si>
  <si>
    <t>五、历年收支情况</t>
  </si>
  <si>
    <t>国有资本经营预算收入历年累计数</t>
  </si>
  <si>
    <t>国有资本经营预算支出历年累计数</t>
  </si>
  <si>
    <t xml:space="preserve">第四部分 </t>
  </si>
  <si>
    <t>南安市本级社会保险基金2023年预算执行情况及2024年预算表</t>
  </si>
  <si>
    <r>
      <rPr>
        <sz val="12"/>
        <color rgb="FF000000"/>
        <rFont val="宋体"/>
        <charset val="134"/>
      </rPr>
      <t>一、南安市本级社会保险基金</t>
    </r>
    <r>
      <rPr>
        <sz val="12"/>
        <color rgb="FF000000"/>
        <rFont val="Times New Roman"/>
        <charset val="134"/>
      </rPr>
      <t>2024</t>
    </r>
    <r>
      <rPr>
        <sz val="12"/>
        <color rgb="FF000000"/>
        <rFont val="宋体"/>
        <charset val="134"/>
      </rPr>
      <t>年预算总表</t>
    </r>
    <r>
      <rPr>
        <sz val="12"/>
        <color rgb="FF000000"/>
        <rFont val="Times New Roman"/>
        <charset val="134"/>
      </rPr>
      <t>..........................................................................................</t>
    </r>
  </si>
  <si>
    <r>
      <rPr>
        <sz val="12"/>
        <color rgb="FF000000"/>
        <rFont val="宋体"/>
        <charset val="134"/>
      </rPr>
      <t>二、南安市本级城乡居民社会养老保险基金</t>
    </r>
    <r>
      <rPr>
        <sz val="12"/>
        <color rgb="FF000000"/>
        <rFont val="Times New Roman"/>
        <charset val="134"/>
      </rPr>
      <t>2023</t>
    </r>
    <r>
      <rPr>
        <sz val="12"/>
        <color rgb="FF000000"/>
        <rFont val="宋体"/>
        <charset val="134"/>
      </rPr>
      <t>年执行情况及</t>
    </r>
    <r>
      <rPr>
        <sz val="12"/>
        <color rgb="FF000000"/>
        <rFont val="Times New Roman"/>
        <charset val="134"/>
      </rPr>
      <t>2024</t>
    </r>
    <r>
      <rPr>
        <sz val="12"/>
        <color rgb="FF000000"/>
        <rFont val="宋体"/>
        <charset val="134"/>
      </rPr>
      <t>年预算表</t>
    </r>
    <r>
      <rPr>
        <sz val="12"/>
        <color rgb="FF000000"/>
        <rFont val="Times New Roman"/>
        <charset val="134"/>
      </rPr>
      <t>......................................</t>
    </r>
  </si>
  <si>
    <r>
      <rPr>
        <sz val="12"/>
        <color rgb="FF000000"/>
        <rFont val="宋体"/>
        <charset val="134"/>
      </rPr>
      <t>三、南安市机关事业社会养老保险基金</t>
    </r>
    <r>
      <rPr>
        <sz val="12"/>
        <color rgb="FF000000"/>
        <rFont val="Times New Roman"/>
        <charset val="134"/>
      </rPr>
      <t>2023</t>
    </r>
    <r>
      <rPr>
        <sz val="12"/>
        <color rgb="FF000000"/>
        <rFont val="宋体"/>
        <charset val="134"/>
      </rPr>
      <t>年执行情况及</t>
    </r>
    <r>
      <rPr>
        <sz val="12"/>
        <color rgb="FF000000"/>
        <rFont val="Times New Roman"/>
        <charset val="134"/>
      </rPr>
      <t>2024</t>
    </r>
    <r>
      <rPr>
        <sz val="12"/>
        <color rgb="FF000000"/>
        <rFont val="宋体"/>
        <charset val="134"/>
      </rPr>
      <t>年预算表</t>
    </r>
    <r>
      <rPr>
        <sz val="12"/>
        <color rgb="FF000000"/>
        <rFont val="Times New Roman"/>
        <charset val="134"/>
      </rPr>
      <t>..................................................</t>
    </r>
  </si>
  <si>
    <r>
      <rPr>
        <sz val="12"/>
        <color rgb="FF000000"/>
        <rFont val="宋体"/>
        <charset val="134"/>
      </rPr>
      <t>四、南安市本级社保基金</t>
    </r>
    <r>
      <rPr>
        <sz val="12"/>
        <color rgb="FF000000"/>
        <rFont val="Times New Roman"/>
        <charset val="134"/>
      </rPr>
      <t>2023</t>
    </r>
    <r>
      <rPr>
        <sz val="12"/>
        <color rgb="FF000000"/>
        <rFont val="宋体"/>
        <charset val="134"/>
      </rPr>
      <t>年执行情况及</t>
    </r>
    <r>
      <rPr>
        <sz val="12"/>
        <color rgb="FF000000"/>
        <rFont val="Times New Roman"/>
        <charset val="134"/>
      </rPr>
      <t>2024</t>
    </r>
    <r>
      <rPr>
        <sz val="12"/>
        <color rgb="FF000000"/>
        <rFont val="宋体"/>
        <charset val="134"/>
      </rPr>
      <t>年预算基础资料表</t>
    </r>
    <r>
      <rPr>
        <sz val="12"/>
        <color rgb="FF000000"/>
        <rFont val="Times New Roman"/>
        <charset val="134"/>
      </rPr>
      <t>......................................................</t>
    </r>
  </si>
  <si>
    <t>南安市本级社会保险基金2024年预算总表</t>
  </si>
  <si>
    <t>城乡居民社会养老保险基金</t>
  </si>
  <si>
    <t>机关事业养老保险基金</t>
  </si>
  <si>
    <t>一、收入</t>
  </si>
  <si>
    <t xml:space="preserve">    其中： 1、保险费收入</t>
  </si>
  <si>
    <t xml:space="preserve">           2、利息收入</t>
  </si>
  <si>
    <t xml:space="preserve">           3、财政补贴收入</t>
  </si>
  <si>
    <t xml:space="preserve">           4、转移收入</t>
  </si>
  <si>
    <r>
      <rPr>
        <sz val="12"/>
        <color indexed="8"/>
        <rFont val="宋体"/>
        <charset val="134"/>
      </rPr>
      <t xml:space="preserve"> </t>
    </r>
    <r>
      <rPr>
        <sz val="12"/>
        <color indexed="8"/>
        <rFont val="宋体"/>
        <charset val="134"/>
      </rPr>
      <t xml:space="preserve">          5、委托投资收益</t>
    </r>
  </si>
  <si>
    <r>
      <rPr>
        <sz val="12"/>
        <color indexed="8"/>
        <rFont val="宋体"/>
        <charset val="134"/>
      </rPr>
      <t xml:space="preserve">           </t>
    </r>
    <r>
      <rPr>
        <sz val="12"/>
        <color indexed="8"/>
        <rFont val="宋体"/>
        <charset val="134"/>
      </rPr>
      <t>6</t>
    </r>
    <r>
      <rPr>
        <sz val="12"/>
        <color indexed="8"/>
        <rFont val="宋体"/>
        <charset val="134"/>
      </rPr>
      <t>、其他收入</t>
    </r>
  </si>
  <si>
    <t>二、支出</t>
  </si>
  <si>
    <t xml:space="preserve">    其中： 1、社会保险待遇支出</t>
  </si>
  <si>
    <t xml:space="preserve">           2、转移支出</t>
  </si>
  <si>
    <t xml:space="preserve">           3、上解支出</t>
  </si>
  <si>
    <t xml:space="preserve">           4、其他支出</t>
  </si>
  <si>
    <t>三、本年收支结余</t>
  </si>
  <si>
    <t>四、年末滚存结余</t>
  </si>
  <si>
    <t>表二:</t>
  </si>
  <si>
    <t>南安市本级城乡居民社会养老保险基金2023年执行情况及2024年预算表</t>
  </si>
  <si>
    <t>项     目</t>
  </si>
  <si>
    <t>2023年预计执行数</t>
  </si>
  <si>
    <t>项    目</t>
  </si>
  <si>
    <t>一、个人缴费收入</t>
  </si>
  <si>
    <t>一、基础养老金支出</t>
  </si>
  <si>
    <t>其中：财政对困难人员代缴收入</t>
  </si>
  <si>
    <t>二、个人账户养老金支出</t>
  </si>
  <si>
    <t>二、集体补助收入</t>
  </si>
  <si>
    <t>三、死亡丧葬补助支出</t>
  </si>
  <si>
    <t>三、利息收入</t>
  </si>
  <si>
    <t>四、其他支出</t>
  </si>
  <si>
    <t>四、政府补贴收入</t>
  </si>
  <si>
    <t>五、转移支出</t>
  </si>
  <si>
    <t xml:space="preserve">  其中： 1.对基础养老金的补贴收入</t>
  </si>
  <si>
    <t xml:space="preserve">         2.个人缴费的补贴收入</t>
  </si>
  <si>
    <t xml:space="preserve">         3.对丧葬费的补助收入</t>
  </si>
  <si>
    <t>五、委托投资收益</t>
  </si>
  <si>
    <t>六、其他收入</t>
  </si>
  <si>
    <t>七、转移收入</t>
  </si>
  <si>
    <t>六、本年支出合计</t>
  </si>
  <si>
    <t>八、本年收入合计</t>
  </si>
  <si>
    <t>七、本年收支结余</t>
  </si>
  <si>
    <t>九、上年结余</t>
  </si>
  <si>
    <t>八、年末滚存结余</t>
  </si>
  <si>
    <t>总        计</t>
  </si>
  <si>
    <t>总         计</t>
  </si>
  <si>
    <t>南安市机关事业社会养老保险基金2023年执行情况及2024年预算表</t>
  </si>
  <si>
    <t>2023年预计
执行数</t>
  </si>
  <si>
    <t>一、基本养老保险费收入</t>
  </si>
  <si>
    <t>一、基本养老金支出</t>
  </si>
  <si>
    <t>二、利息收入</t>
  </si>
  <si>
    <t>二、其他支出</t>
  </si>
  <si>
    <t>三、财政补贴收入</t>
  </si>
  <si>
    <t>三、转移支出</t>
  </si>
  <si>
    <t xml:space="preserve">    其中：本级财政补助</t>
  </si>
  <si>
    <t>四、本年支出小计</t>
  </si>
  <si>
    <t>四、其他收入</t>
  </si>
  <si>
    <t>五、补助下级支出</t>
  </si>
  <si>
    <t>五、转移收入</t>
  </si>
  <si>
    <t>六、上解上级支出</t>
  </si>
  <si>
    <t>六、本年收入小计</t>
  </si>
  <si>
    <t>七、本年支出合计</t>
  </si>
  <si>
    <t>七、上级补助收入</t>
  </si>
  <si>
    <t>八、本年收支结余</t>
  </si>
  <si>
    <t>八、下级上解收入</t>
  </si>
  <si>
    <t>九、年末滚存结余</t>
  </si>
  <si>
    <t>九、本年收入合计</t>
  </si>
  <si>
    <t>十、上年结余</t>
  </si>
  <si>
    <t>南安市本级社保基金2023年执行情况及2024年预算基础资料表</t>
  </si>
  <si>
    <t>项               目</t>
  </si>
  <si>
    <t>单位</t>
  </si>
  <si>
    <t>2023年
执行数</t>
  </si>
  <si>
    <t>一、城乡居民社会养老保险</t>
  </si>
  <si>
    <t>×</t>
  </si>
  <si>
    <t>（一）16－59周岁参保缴费人数</t>
  </si>
  <si>
    <t>人</t>
  </si>
  <si>
    <t>（二）养老金领取人员</t>
  </si>
  <si>
    <t>二、机关事业单位基本养老保险</t>
  </si>
  <si>
    <t xml:space="preserve"> (一)参保人数</t>
  </si>
  <si>
    <t>　  1.在职职工</t>
  </si>
  <si>
    <t>　　2.退休、退职人员</t>
  </si>
  <si>
    <t xml:space="preserve"> (二)实际缴费人数</t>
  </si>
  <si>
    <t xml:space="preserve"> (三)缴费基数总额</t>
  </si>
  <si>
    <t>　　1.单位</t>
  </si>
  <si>
    <t>元</t>
  </si>
  <si>
    <t>　　2.个人</t>
  </si>
  <si>
    <t xml:space="preserve"> (四)缴费率</t>
  </si>
  <si>
    <t>%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</si>
</sst>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3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;\-#,##0;;"/>
    <numFmt numFmtId="177" formatCode="#,##0.00_ ;\-#,##0.00;;"/>
    <numFmt numFmtId="178" formatCode="0_ "/>
    <numFmt numFmtId="179" formatCode="0_);[Red]\(0\)"/>
    <numFmt numFmtId="180" formatCode="0.00_);[Red]\(0.00\)"/>
    <numFmt numFmtId="181" formatCode="0.0_ "/>
    <numFmt numFmtId="182" formatCode="0.00_ "/>
    <numFmt numFmtId="183" formatCode="yyyy&quot;年&quot;m&quot;月&quot;d&quot;日&quot;;@"/>
    <numFmt numFmtId="184" formatCode="0.0_);[Red]\(0.0\)"/>
  </numFmts>
  <fonts count="107">
    <font>
      <sz val="12"/>
      <name val="宋体"/>
      <charset val="134"/>
    </font>
    <font>
      <sz val="10"/>
      <name val="宋体"/>
      <charset val="134"/>
    </font>
    <font>
      <sz val="18"/>
      <color indexed="8"/>
      <name val="方正小标宋简体"/>
      <charset val="134"/>
    </font>
    <font>
      <sz val="18"/>
      <color indexed="8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黑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b/>
      <sz val="10"/>
      <name val="宋体"/>
      <charset val="134"/>
    </font>
    <font>
      <sz val="10"/>
      <name val="Arial"/>
      <charset val="134"/>
    </font>
    <font>
      <b/>
      <sz val="12"/>
      <name val="黑体"/>
      <charset val="134"/>
    </font>
    <font>
      <sz val="11"/>
      <color theme="1"/>
      <name val="宋体"/>
      <charset val="134"/>
      <scheme val="minor"/>
    </font>
    <font>
      <sz val="12"/>
      <color indexed="8"/>
      <name val="Arial Narrow"/>
      <charset val="134"/>
    </font>
    <font>
      <b/>
      <sz val="12"/>
      <color rgb="FF000000"/>
      <name val="黑体"/>
      <charset val="134"/>
    </font>
    <font>
      <sz val="20"/>
      <color indexed="8"/>
      <name val="方正小标宋简体"/>
      <charset val="134"/>
    </font>
    <font>
      <sz val="18"/>
      <color indexed="8"/>
      <name val="华文中宋"/>
      <charset val="134"/>
    </font>
    <font>
      <sz val="12"/>
      <color rgb="FF000000"/>
      <name val="宋体"/>
      <charset val="134"/>
    </font>
    <font>
      <sz val="20"/>
      <name val="方正小标宋简体"/>
      <charset val="134"/>
    </font>
    <font>
      <sz val="10"/>
      <name val="方正小标宋简体"/>
      <charset val="134"/>
    </font>
    <font>
      <sz val="18"/>
      <name val="方正小标宋简体"/>
      <charset val="134"/>
    </font>
    <font>
      <sz val="15"/>
      <name val="宋体"/>
      <charset val="134"/>
    </font>
    <font>
      <sz val="16"/>
      <name val="宋体"/>
      <charset val="134"/>
    </font>
    <font>
      <u/>
      <sz val="15"/>
      <name val="宋体"/>
      <charset val="134"/>
    </font>
    <font>
      <sz val="11"/>
      <name val="Arial"/>
      <charset val="134"/>
    </font>
    <font>
      <sz val="11"/>
      <color indexed="16"/>
      <name val="宋体"/>
      <charset val="134"/>
    </font>
    <font>
      <sz val="12"/>
      <name val="Arial"/>
      <charset val="134"/>
    </font>
    <font>
      <sz val="12"/>
      <name val="Geneva"/>
      <charset val="134"/>
    </font>
    <font>
      <sz val="18"/>
      <name val="Arial"/>
      <charset val="134"/>
    </font>
    <font>
      <b/>
      <sz val="10"/>
      <name val="Arial"/>
      <charset val="134"/>
    </font>
    <font>
      <b/>
      <sz val="12"/>
      <name val="Arial"/>
      <charset val="134"/>
    </font>
    <font>
      <sz val="12"/>
      <name val="黑体"/>
      <charset val="134"/>
    </font>
    <font>
      <sz val="14"/>
      <name val="Times New Roman"/>
      <charset val="134"/>
    </font>
    <font>
      <sz val="11"/>
      <name val="宋体"/>
      <charset val="134"/>
    </font>
    <font>
      <sz val="11"/>
      <name val="黑体"/>
      <charset val="134"/>
    </font>
    <font>
      <sz val="10"/>
      <name val="黑体"/>
      <charset val="134"/>
    </font>
    <font>
      <sz val="9"/>
      <name val="宋体"/>
      <charset val="134"/>
    </font>
    <font>
      <sz val="12"/>
      <name val="宋体"/>
      <charset val="134"/>
      <scheme val="minor"/>
    </font>
    <font>
      <b/>
      <sz val="11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6"/>
      <name val="Times New Roman"/>
      <charset val="134"/>
    </font>
    <font>
      <sz val="11"/>
      <name val="宋体"/>
      <charset val="134"/>
      <scheme val="minor"/>
    </font>
    <font>
      <sz val="20"/>
      <name val="黑体"/>
      <charset val="134"/>
    </font>
    <font>
      <b/>
      <sz val="11"/>
      <name val="黑体"/>
      <charset val="134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name val="Geneva"/>
      <charset val="134"/>
    </font>
    <font>
      <b/>
      <sz val="10"/>
      <name val="宋体"/>
      <charset val="134"/>
      <scheme val="minor"/>
    </font>
    <font>
      <b/>
      <sz val="10"/>
      <name val="黑体"/>
      <charset val="134"/>
    </font>
    <font>
      <sz val="9"/>
      <color indexed="8"/>
      <name val="方正小标宋简体"/>
      <charset val="134"/>
    </font>
    <font>
      <b/>
      <sz val="11"/>
      <color indexed="8"/>
      <name val="楷体"/>
      <charset val="134"/>
    </font>
    <font>
      <b/>
      <sz val="11"/>
      <color indexed="8"/>
      <name val="黑体"/>
      <charset val="134"/>
    </font>
    <font>
      <sz val="9"/>
      <color indexed="8"/>
      <name val="宋体"/>
      <charset val="134"/>
    </font>
    <font>
      <sz val="8"/>
      <name val="宋体"/>
      <charset val="134"/>
    </font>
    <font>
      <b/>
      <sz val="16"/>
      <name val="宋体"/>
      <charset val="134"/>
    </font>
    <font>
      <b/>
      <sz val="18"/>
      <name val="方正小标宋简体"/>
      <charset val="134"/>
    </font>
    <font>
      <b/>
      <sz val="9"/>
      <color rgb="FF080000"/>
      <name val="黑体"/>
      <charset val="134"/>
    </font>
    <font>
      <b/>
      <sz val="8"/>
      <name val="黑体"/>
      <charset val="134"/>
    </font>
    <font>
      <b/>
      <sz val="8"/>
      <name val="宋体"/>
      <charset val="134"/>
    </font>
    <font>
      <b/>
      <sz val="12"/>
      <color rgb="FF000000"/>
      <name val="宋体"/>
      <charset val="134"/>
    </font>
    <font>
      <b/>
      <sz val="12"/>
      <name val="宋体"/>
      <charset val="134"/>
      <scheme val="minor"/>
    </font>
    <font>
      <sz val="10"/>
      <color theme="1"/>
      <name val="Arial"/>
      <charset val="134"/>
    </font>
    <font>
      <b/>
      <sz val="16"/>
      <color theme="1"/>
      <name val="宋体"/>
      <charset val="134"/>
    </font>
    <font>
      <b/>
      <sz val="10"/>
      <color theme="1"/>
      <name val="宋体"/>
      <charset val="134"/>
    </font>
    <font>
      <b/>
      <sz val="12"/>
      <color theme="1"/>
      <name val="黑体"/>
      <charset val="134"/>
    </font>
    <font>
      <b/>
      <sz val="12"/>
      <color theme="1"/>
      <name val="宋体"/>
      <charset val="134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name val="宋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9"/>
      <name val="黑体"/>
      <charset val="134"/>
    </font>
    <font>
      <sz val="22"/>
      <name val="方正小标宋简体"/>
      <charset val="134"/>
    </font>
    <font>
      <b/>
      <sz val="20"/>
      <name val="方正小标宋简体"/>
      <charset val="134"/>
    </font>
    <font>
      <sz val="16"/>
      <color rgb="FF000000"/>
      <name val="宋体"/>
      <charset val="134"/>
    </font>
    <font>
      <sz val="16"/>
      <name val="Arial"/>
      <charset val="134"/>
    </font>
    <font>
      <sz val="16"/>
      <color indexed="8"/>
      <name val="宋体"/>
      <charset val="134"/>
    </font>
    <font>
      <sz val="23"/>
      <name val="方正小标宋简体"/>
      <charset val="134"/>
    </font>
    <font>
      <sz val="1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indexed="8"/>
      <name val="宋体"/>
      <charset val="134"/>
    </font>
    <font>
      <sz val="12"/>
      <color rgb="FF000000"/>
      <name val="Times New Roman"/>
      <charset val="134"/>
    </font>
    <font>
      <sz val="12"/>
      <name val="Times New Roman"/>
      <charset val="134"/>
    </font>
    <font>
      <b/>
      <sz val="12"/>
      <name val="Times New Roman"/>
      <charset val="134"/>
    </font>
    <font>
      <sz val="12"/>
      <color rgb="FF000000"/>
      <name val="Arial"/>
      <charset val="134"/>
    </font>
    <font>
      <sz val="16"/>
      <color rgb="FF000000"/>
      <name val="Times New Roman"/>
      <charset val="134"/>
    </font>
    <font>
      <sz val="9"/>
      <name val="宋体"/>
      <charset val="134"/>
    </font>
  </fonts>
  <fills count="4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7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 applyBorder="0"/>
    <xf numFmtId="43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3" fillId="9" borderId="67" applyNumberFormat="0" applyFont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68" applyNumberFormat="0" applyFill="0" applyAlignment="0" applyProtection="0">
      <alignment vertical="center"/>
    </xf>
    <xf numFmtId="0" fontId="87" fillId="0" borderId="68" applyNumberFormat="0" applyFill="0" applyAlignment="0" applyProtection="0">
      <alignment vertical="center"/>
    </xf>
    <xf numFmtId="0" fontId="88" fillId="0" borderId="69" applyNumberFormat="0" applyFill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9" fillId="10" borderId="70" applyNumberFormat="0" applyAlignment="0" applyProtection="0">
      <alignment vertical="center"/>
    </xf>
    <xf numFmtId="0" fontId="90" fillId="11" borderId="71" applyNumberFormat="0" applyAlignment="0" applyProtection="0">
      <alignment vertical="center"/>
    </xf>
    <xf numFmtId="0" fontId="91" fillId="11" borderId="70" applyNumberFormat="0" applyAlignment="0" applyProtection="0">
      <alignment vertical="center"/>
    </xf>
    <xf numFmtId="0" fontId="92" fillId="12" borderId="72" applyNumberFormat="0" applyAlignment="0" applyProtection="0">
      <alignment vertical="center"/>
    </xf>
    <xf numFmtId="0" fontId="93" fillId="0" borderId="73" applyNumberFormat="0" applyFill="0" applyAlignment="0" applyProtection="0">
      <alignment vertical="center"/>
    </xf>
    <xf numFmtId="0" fontId="94" fillId="0" borderId="74" applyNumberFormat="0" applyFill="0" applyAlignment="0" applyProtection="0">
      <alignment vertical="center"/>
    </xf>
    <xf numFmtId="0" fontId="95" fillId="13" borderId="0" applyNumberFormat="0" applyBorder="0" applyAlignment="0" applyProtection="0">
      <alignment vertical="center"/>
    </xf>
    <xf numFmtId="0" fontId="96" fillId="14" borderId="0" applyNumberFormat="0" applyBorder="0" applyAlignment="0" applyProtection="0">
      <alignment vertical="center"/>
    </xf>
    <xf numFmtId="0" fontId="97" fillId="15" borderId="0" applyNumberFormat="0" applyBorder="0" applyAlignment="0" applyProtection="0">
      <alignment vertical="center"/>
    </xf>
    <xf numFmtId="0" fontId="98" fillId="16" borderId="0" applyNumberFormat="0" applyBorder="0" applyAlignment="0" applyProtection="0">
      <alignment vertical="center"/>
    </xf>
    <xf numFmtId="0" fontId="99" fillId="17" borderId="0" applyNumberFormat="0" applyBorder="0" applyAlignment="0" applyProtection="0">
      <alignment vertical="center"/>
    </xf>
    <xf numFmtId="0" fontId="99" fillId="18" borderId="0" applyNumberFormat="0" applyBorder="0" applyAlignment="0" applyProtection="0">
      <alignment vertical="center"/>
    </xf>
    <xf numFmtId="0" fontId="98" fillId="19" borderId="0" applyNumberFormat="0" applyBorder="0" applyAlignment="0" applyProtection="0">
      <alignment vertical="center"/>
    </xf>
    <xf numFmtId="0" fontId="98" fillId="20" borderId="0" applyNumberFormat="0" applyBorder="0" applyAlignment="0" applyProtection="0">
      <alignment vertical="center"/>
    </xf>
    <xf numFmtId="0" fontId="99" fillId="21" borderId="0" applyNumberFormat="0" applyBorder="0" applyAlignment="0" applyProtection="0">
      <alignment vertical="center"/>
    </xf>
    <xf numFmtId="0" fontId="99" fillId="22" borderId="0" applyNumberFormat="0" applyBorder="0" applyAlignment="0" applyProtection="0">
      <alignment vertical="center"/>
    </xf>
    <xf numFmtId="0" fontId="98" fillId="23" borderId="0" applyNumberFormat="0" applyBorder="0" applyAlignment="0" applyProtection="0">
      <alignment vertical="center"/>
    </xf>
    <xf numFmtId="0" fontId="98" fillId="24" borderId="0" applyNumberFormat="0" applyBorder="0" applyAlignment="0" applyProtection="0">
      <alignment vertical="center"/>
    </xf>
    <xf numFmtId="0" fontId="99" fillId="25" borderId="0" applyNumberFormat="0" applyBorder="0" applyAlignment="0" applyProtection="0">
      <alignment vertical="center"/>
    </xf>
    <xf numFmtId="0" fontId="99" fillId="26" borderId="0" applyNumberFormat="0" applyBorder="0" applyAlignment="0" applyProtection="0">
      <alignment vertical="center"/>
    </xf>
    <xf numFmtId="0" fontId="98" fillId="27" borderId="0" applyNumberFormat="0" applyBorder="0" applyAlignment="0" applyProtection="0">
      <alignment vertical="center"/>
    </xf>
    <xf numFmtId="0" fontId="98" fillId="28" borderId="0" applyNumberFormat="0" applyBorder="0" applyAlignment="0" applyProtection="0">
      <alignment vertical="center"/>
    </xf>
    <xf numFmtId="0" fontId="99" fillId="29" borderId="0" applyNumberFormat="0" applyBorder="0" applyAlignment="0" applyProtection="0">
      <alignment vertical="center"/>
    </xf>
    <xf numFmtId="0" fontId="99" fillId="30" borderId="0" applyNumberFormat="0" applyBorder="0" applyAlignment="0" applyProtection="0">
      <alignment vertical="center"/>
    </xf>
    <xf numFmtId="0" fontId="98" fillId="31" borderId="0" applyNumberFormat="0" applyBorder="0" applyAlignment="0" applyProtection="0">
      <alignment vertical="center"/>
    </xf>
    <xf numFmtId="0" fontId="98" fillId="32" borderId="0" applyNumberFormat="0" applyBorder="0" applyAlignment="0" applyProtection="0">
      <alignment vertical="center"/>
    </xf>
    <xf numFmtId="0" fontId="99" fillId="33" borderId="0" applyNumberFormat="0" applyBorder="0" applyAlignment="0" applyProtection="0">
      <alignment vertical="center"/>
    </xf>
    <xf numFmtId="0" fontId="99" fillId="34" borderId="0" applyNumberFormat="0" applyBorder="0" applyAlignment="0" applyProtection="0">
      <alignment vertical="center"/>
    </xf>
    <xf numFmtId="0" fontId="98" fillId="35" borderId="0" applyNumberFormat="0" applyBorder="0" applyAlignment="0" applyProtection="0">
      <alignment vertical="center"/>
    </xf>
    <xf numFmtId="0" fontId="98" fillId="36" borderId="0" applyNumberFormat="0" applyBorder="0" applyAlignment="0" applyProtection="0">
      <alignment vertical="center"/>
    </xf>
    <xf numFmtId="0" fontId="99" fillId="37" borderId="0" applyNumberFormat="0" applyBorder="0" applyAlignment="0" applyProtection="0">
      <alignment vertical="center"/>
    </xf>
    <xf numFmtId="0" fontId="99" fillId="38" borderId="0" applyNumberFormat="0" applyBorder="0" applyAlignment="0" applyProtection="0">
      <alignment vertical="center"/>
    </xf>
    <xf numFmtId="0" fontId="98" fillId="39" borderId="0" applyNumberFormat="0" applyBorder="0" applyAlignment="0" applyProtection="0">
      <alignment vertical="center"/>
    </xf>
    <xf numFmtId="0" fontId="37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/>
    <xf numFmtId="0" fontId="100" fillId="0" borderId="0" applyBorder="0"/>
    <xf numFmtId="0" fontId="0" fillId="0" borderId="0" applyBorder="0">
      <alignment vertical="center"/>
    </xf>
    <xf numFmtId="0" fontId="0" fillId="0" borderId="0" applyBorder="0"/>
    <xf numFmtId="0" fontId="0" fillId="0" borderId="0" applyBorder="0">
      <alignment vertical="center"/>
    </xf>
    <xf numFmtId="0" fontId="11" fillId="0" borderId="0" applyBorder="0"/>
    <xf numFmtId="0" fontId="11" fillId="0" borderId="0" applyBorder="0"/>
    <xf numFmtId="0" fontId="13" fillId="0" borderId="0" applyBorder="0"/>
    <xf numFmtId="0" fontId="54" fillId="0" borderId="0" applyBorder="0">
      <alignment vertical="center"/>
    </xf>
    <xf numFmtId="0" fontId="0" fillId="0" borderId="0" applyBorder="0"/>
    <xf numFmtId="0" fontId="48" fillId="0" borderId="0" applyBorder="0"/>
    <xf numFmtId="0" fontId="37" fillId="0" borderId="0" applyBorder="0">
      <alignment vertical="center"/>
    </xf>
    <xf numFmtId="0" fontId="0" fillId="0" borderId="0" applyBorder="0">
      <alignment vertical="center"/>
    </xf>
  </cellStyleXfs>
  <cellXfs count="846">
    <xf numFmtId="0" fontId="0" fillId="0" borderId="0" xfId="0" applyFont="1" applyAlignment="1">
      <alignment vertical="center"/>
    </xf>
    <xf numFmtId="0" fontId="1" fillId="0" borderId="0" xfId="60" applyFont="1" applyFill="1" applyBorder="1" applyAlignment="1">
      <alignment wrapText="1"/>
    </xf>
    <xf numFmtId="0" fontId="1" fillId="0" borderId="0" xfId="60" applyFont="1" applyFill="1" applyBorder="1" applyAlignment="1"/>
    <xf numFmtId="0" fontId="0" fillId="0" borderId="0" xfId="60" applyFont="1" applyFill="1" applyBorder="1" applyAlignment="1">
      <alignment vertical="center"/>
    </xf>
    <xf numFmtId="0" fontId="2" fillId="0" borderId="0" xfId="60" applyNumberFormat="1" applyFont="1" applyFill="1" applyBorder="1" applyAlignment="1" applyProtection="1">
      <alignment horizontal="center" vertical="center"/>
    </xf>
    <xf numFmtId="0" fontId="3" fillId="0" borderId="0" xfId="60" applyNumberFormat="1" applyFont="1" applyFill="1" applyBorder="1" applyAlignment="1" applyProtection="1">
      <alignment vertical="center"/>
    </xf>
    <xf numFmtId="0" fontId="4" fillId="0" borderId="1" xfId="60" applyNumberFormat="1" applyFont="1" applyFill="1" applyBorder="1" applyAlignment="1" applyProtection="1">
      <alignment horizontal="center" vertical="center" wrapText="1"/>
    </xf>
    <xf numFmtId="0" fontId="4" fillId="0" borderId="2" xfId="60" applyNumberFormat="1" applyFont="1" applyFill="1" applyBorder="1" applyAlignment="1" applyProtection="1">
      <alignment horizontal="center" vertical="center" wrapText="1"/>
    </xf>
    <xf numFmtId="0" fontId="5" fillId="0" borderId="1" xfId="60" applyNumberFormat="1" applyFont="1" applyFill="1" applyBorder="1" applyAlignment="1" applyProtection="1">
      <alignment horizontal="center" vertical="center" wrapText="1"/>
    </xf>
    <xf numFmtId="0" fontId="5" fillId="0" borderId="3" xfId="60" applyNumberFormat="1" applyFont="1" applyFill="1" applyBorder="1" applyAlignment="1" applyProtection="1">
      <alignment horizontal="center" vertical="center" wrapText="1"/>
    </xf>
    <xf numFmtId="0" fontId="6" fillId="0" borderId="4" xfId="60" applyNumberFormat="1" applyFont="1" applyFill="1" applyBorder="1" applyAlignment="1" applyProtection="1">
      <alignment vertical="center"/>
    </xf>
    <xf numFmtId="0" fontId="7" fillId="0" borderId="5" xfId="60" applyNumberFormat="1" applyFont="1" applyFill="1" applyBorder="1" applyAlignment="1" applyProtection="1">
      <alignment horizontal="center" vertical="center"/>
    </xf>
    <xf numFmtId="176" fontId="7" fillId="0" borderId="5" xfId="60" applyNumberFormat="1" applyFont="1" applyFill="1" applyBorder="1" applyAlignment="1" applyProtection="1">
      <alignment horizontal="right" vertical="center"/>
    </xf>
    <xf numFmtId="176" fontId="7" fillId="0" borderId="6" xfId="60" applyNumberFormat="1" applyFont="1" applyFill="1" applyBorder="1" applyAlignment="1" applyProtection="1">
      <alignment horizontal="right" vertical="center"/>
    </xf>
    <xf numFmtId="0" fontId="8" fillId="0" borderId="7" xfId="60" applyNumberFormat="1" applyFont="1" applyFill="1" applyBorder="1" applyAlignment="1" applyProtection="1">
      <alignment vertical="center"/>
    </xf>
    <xf numFmtId="0" fontId="8" fillId="0" borderId="8" xfId="60" applyNumberFormat="1" applyFont="1" applyFill="1" applyBorder="1" applyAlignment="1" applyProtection="1">
      <alignment horizontal="center" vertical="center"/>
    </xf>
    <xf numFmtId="176" fontId="8" fillId="2" borderId="8" xfId="58" applyNumberFormat="1" applyFont="1" applyFill="1" applyBorder="1" applyAlignment="1">
      <alignment horizontal="right" vertical="center"/>
    </xf>
    <xf numFmtId="176" fontId="8" fillId="2" borderId="9" xfId="58" applyNumberFormat="1" applyFont="1" applyFill="1" applyBorder="1" applyAlignment="1">
      <alignment horizontal="right" vertical="center"/>
    </xf>
    <xf numFmtId="0" fontId="6" fillId="0" borderId="7" xfId="60" applyNumberFormat="1" applyFont="1" applyFill="1" applyBorder="1" applyAlignment="1" applyProtection="1">
      <alignment horizontal="left" vertical="center"/>
    </xf>
    <xf numFmtId="0" fontId="7" fillId="0" borderId="8" xfId="60" applyNumberFormat="1" applyFont="1" applyFill="1" applyBorder="1" applyAlignment="1" applyProtection="1">
      <alignment horizontal="center" vertical="center"/>
    </xf>
    <xf numFmtId="176" fontId="7" fillId="0" borderId="8" xfId="60" applyNumberFormat="1" applyFont="1" applyFill="1" applyBorder="1" applyAlignment="1" applyProtection="1">
      <alignment vertical="center"/>
    </xf>
    <xf numFmtId="176" fontId="7" fillId="0" borderId="9" xfId="60" applyNumberFormat="1" applyFont="1" applyFill="1" applyBorder="1" applyAlignment="1" applyProtection="1">
      <alignment vertical="center"/>
    </xf>
    <xf numFmtId="0" fontId="8" fillId="0" borderId="7" xfId="60" applyNumberFormat="1" applyFont="1" applyFill="1" applyBorder="1" applyAlignment="1" applyProtection="1">
      <alignment horizontal="left" vertical="center"/>
    </xf>
    <xf numFmtId="176" fontId="8" fillId="0" borderId="8" xfId="58" applyNumberFormat="1" applyFont="1" applyFill="1" applyBorder="1" applyAlignment="1">
      <alignment horizontal="right" vertical="center"/>
    </xf>
    <xf numFmtId="176" fontId="8" fillId="0" borderId="9" xfId="58" applyNumberFormat="1" applyFont="1" applyFill="1" applyBorder="1" applyAlignment="1">
      <alignment horizontal="right" vertical="center"/>
    </xf>
    <xf numFmtId="177" fontId="8" fillId="0" borderId="8" xfId="58" applyNumberFormat="1" applyFont="1" applyFill="1" applyBorder="1" applyAlignment="1">
      <alignment horizontal="right" vertical="center"/>
    </xf>
    <xf numFmtId="177" fontId="8" fillId="0" borderId="9" xfId="58" applyNumberFormat="1" applyFont="1" applyFill="1" applyBorder="1" applyAlignment="1">
      <alignment horizontal="right" vertical="center"/>
    </xf>
    <xf numFmtId="177" fontId="9" fillId="0" borderId="8" xfId="58" applyNumberFormat="1" applyFont="1" applyFill="1" applyBorder="1" applyAlignment="1">
      <alignment horizontal="right" vertical="center"/>
    </xf>
    <xf numFmtId="177" fontId="9" fillId="0" borderId="9" xfId="58" applyNumberFormat="1" applyFont="1" applyFill="1" applyBorder="1" applyAlignment="1">
      <alignment horizontal="right" vertical="center"/>
    </xf>
    <xf numFmtId="0" fontId="8" fillId="0" borderId="10" xfId="60" applyNumberFormat="1" applyFont="1" applyFill="1" applyBorder="1" applyAlignment="1" applyProtection="1">
      <alignment horizontal="left" vertical="center"/>
    </xf>
    <xf numFmtId="0" fontId="8" fillId="0" borderId="11" xfId="60" applyNumberFormat="1" applyFont="1" applyFill="1" applyBorder="1" applyAlignment="1" applyProtection="1">
      <alignment horizontal="center" vertical="center"/>
    </xf>
    <xf numFmtId="177" fontId="8" fillId="0" borderId="11" xfId="58" applyNumberFormat="1" applyFont="1" applyFill="1" applyBorder="1" applyAlignment="1">
      <alignment horizontal="right" vertical="center"/>
    </xf>
    <xf numFmtId="177" fontId="8" fillId="0" borderId="12" xfId="58" applyNumberFormat="1" applyFont="1" applyFill="1" applyBorder="1" applyAlignment="1">
      <alignment horizontal="right" vertical="center"/>
    </xf>
    <xf numFmtId="0" fontId="1" fillId="0" borderId="13" xfId="60" applyFont="1" applyFill="1" applyBorder="1" applyAlignment="1"/>
    <xf numFmtId="0" fontId="1" fillId="0" borderId="14" xfId="60" applyFont="1" applyFill="1" applyBorder="1" applyAlignment="1"/>
    <xf numFmtId="0" fontId="1" fillId="0" borderId="15" xfId="60" applyFont="1" applyFill="1" applyBorder="1" applyAlignment="1"/>
    <xf numFmtId="0" fontId="10" fillId="0" borderId="0" xfId="60" applyFont="1" applyFill="1"/>
    <xf numFmtId="0" fontId="11" fillId="0" borderId="0" xfId="60" applyFont="1" applyFill="1"/>
    <xf numFmtId="0" fontId="0" fillId="0" borderId="0" xfId="60" applyFont="1" applyFill="1" applyAlignment="1">
      <alignment vertical="center"/>
    </xf>
    <xf numFmtId="0" fontId="0" fillId="0" borderId="0" xfId="60" applyFont="1" applyFill="1"/>
    <xf numFmtId="0" fontId="2" fillId="0" borderId="0" xfId="60" applyNumberFormat="1" applyFont="1" applyFill="1" applyAlignment="1" applyProtection="1">
      <alignment horizontal="center" vertical="center"/>
    </xf>
    <xf numFmtId="0" fontId="11" fillId="0" borderId="0" xfId="60" applyNumberFormat="1" applyFont="1" applyFill="1" applyAlignment="1" applyProtection="1">
      <alignment vertical="center"/>
    </xf>
    <xf numFmtId="0" fontId="8" fillId="0" borderId="0" xfId="60" applyNumberFormat="1" applyFont="1" applyFill="1" applyAlignment="1" applyProtection="1">
      <alignment horizontal="right" vertical="center"/>
    </xf>
    <xf numFmtId="0" fontId="5" fillId="0" borderId="8" xfId="60" applyNumberFormat="1" applyFont="1" applyFill="1" applyBorder="1" applyAlignment="1" applyProtection="1">
      <alignment horizontal="center" vertical="center"/>
    </xf>
    <xf numFmtId="178" fontId="5" fillId="2" borderId="8" xfId="60" applyNumberFormat="1" applyFont="1" applyFill="1" applyBorder="1" applyAlignment="1" applyProtection="1">
      <alignment horizontal="center" vertical="center" wrapText="1"/>
    </xf>
    <xf numFmtId="178" fontId="5" fillId="0" borderId="8" xfId="60" applyNumberFormat="1" applyFont="1" applyFill="1" applyBorder="1" applyAlignment="1" applyProtection="1">
      <alignment horizontal="center" vertical="center" wrapText="1"/>
    </xf>
    <xf numFmtId="0" fontId="5" fillId="0" borderId="8" xfId="60" applyNumberFormat="1" applyFont="1" applyFill="1" applyBorder="1" applyAlignment="1" applyProtection="1">
      <alignment horizontal="center" vertical="center" wrapText="1"/>
    </xf>
    <xf numFmtId="0" fontId="8" fillId="0" borderId="8" xfId="60" applyNumberFormat="1" applyFont="1" applyFill="1" applyBorder="1" applyAlignment="1" applyProtection="1">
      <alignment vertical="center"/>
    </xf>
    <xf numFmtId="178" fontId="8" fillId="0" borderId="8" xfId="60" applyNumberFormat="1" applyFont="1" applyFill="1" applyBorder="1" applyAlignment="1" applyProtection="1">
      <alignment vertical="center"/>
    </xf>
    <xf numFmtId="179" fontId="8" fillId="2" borderId="8" xfId="58" applyNumberFormat="1" applyFont="1" applyFill="1" applyBorder="1" applyAlignment="1">
      <alignment horizontal="right" vertical="center"/>
    </xf>
    <xf numFmtId="179" fontId="8" fillId="2" borderId="16" xfId="58" applyNumberFormat="1" applyFont="1" applyFill="1" applyBorder="1" applyAlignment="1">
      <alignment horizontal="right" vertical="center"/>
    </xf>
    <xf numFmtId="179" fontId="8" fillId="0" borderId="8" xfId="60" applyNumberFormat="1" applyFont="1" applyFill="1" applyBorder="1" applyAlignment="1" applyProtection="1">
      <alignment vertical="center"/>
    </xf>
    <xf numFmtId="179" fontId="8" fillId="0" borderId="17" xfId="58" applyNumberFormat="1" applyFont="1" applyFill="1" applyBorder="1" applyAlignment="1">
      <alignment horizontal="right" vertical="center"/>
    </xf>
    <xf numFmtId="179" fontId="8" fillId="0" borderId="18" xfId="58" applyNumberFormat="1" applyFont="1" applyFill="1" applyBorder="1" applyAlignment="1">
      <alignment horizontal="right" vertical="center"/>
    </xf>
    <xf numFmtId="177" fontId="8" fillId="0" borderId="8" xfId="60" applyNumberFormat="1" applyFont="1" applyFill="1" applyBorder="1" applyAlignment="1" applyProtection="1">
      <alignment vertical="center"/>
    </xf>
    <xf numFmtId="0" fontId="6" fillId="0" borderId="8" xfId="60" applyNumberFormat="1" applyFont="1" applyFill="1" applyBorder="1" applyAlignment="1" applyProtection="1">
      <alignment horizontal="center" vertical="center"/>
    </xf>
    <xf numFmtId="178" fontId="6" fillId="0" borderId="8" xfId="60" applyNumberFormat="1" applyFont="1" applyFill="1" applyBorder="1" applyAlignment="1" applyProtection="1">
      <alignment vertical="center"/>
    </xf>
    <xf numFmtId="178" fontId="12" fillId="0" borderId="8" xfId="60" applyNumberFormat="1" applyFont="1" applyFill="1" applyBorder="1" applyAlignment="1">
      <alignment vertical="center"/>
    </xf>
    <xf numFmtId="180" fontId="10" fillId="0" borderId="0" xfId="60" applyNumberFormat="1" applyFont="1" applyFill="1"/>
    <xf numFmtId="0" fontId="11" fillId="0" borderId="0" xfId="60" applyNumberFormat="1" applyFont="1" applyFill="1" applyAlignment="1" applyProtection="1"/>
    <xf numFmtId="0" fontId="10" fillId="0" borderId="0" xfId="60" applyFont="1"/>
    <xf numFmtId="0" fontId="1" fillId="0" borderId="0" xfId="60" applyFont="1"/>
    <xf numFmtId="0" fontId="1" fillId="0" borderId="0" xfId="60" applyFont="1" applyFill="1"/>
    <xf numFmtId="0" fontId="0" fillId="0" borderId="0" xfId="60" applyFont="1" applyAlignment="1">
      <alignment vertical="center"/>
    </xf>
    <xf numFmtId="0" fontId="2" fillId="2" borderId="0" xfId="60" applyNumberFormat="1" applyFont="1" applyFill="1" applyAlignment="1" applyProtection="1">
      <alignment horizontal="center" vertical="center"/>
    </xf>
    <xf numFmtId="0" fontId="8" fillId="2" borderId="0" xfId="60" applyNumberFormat="1" applyFont="1" applyFill="1" applyAlignment="1" applyProtection="1">
      <alignment vertical="center"/>
    </xf>
    <xf numFmtId="0" fontId="8" fillId="2" borderId="0" xfId="60" applyNumberFormat="1" applyFont="1" applyFill="1" applyAlignment="1" applyProtection="1">
      <alignment horizontal="right" vertical="center"/>
    </xf>
    <xf numFmtId="0" fontId="5" fillId="2" borderId="8" xfId="60" applyNumberFormat="1" applyFont="1" applyFill="1" applyBorder="1" applyAlignment="1" applyProtection="1">
      <alignment horizontal="center" vertical="center"/>
    </xf>
    <xf numFmtId="0" fontId="5" fillId="2" borderId="8" xfId="60" applyNumberFormat="1" applyFont="1" applyFill="1" applyBorder="1" applyAlignment="1" applyProtection="1">
      <alignment horizontal="center" vertical="center" wrapText="1"/>
    </xf>
    <xf numFmtId="0" fontId="0" fillId="2" borderId="8" xfId="60" applyNumberFormat="1" applyFont="1" applyFill="1" applyBorder="1" applyAlignment="1" applyProtection="1">
      <alignment vertical="center"/>
    </xf>
    <xf numFmtId="179" fontId="8" fillId="2" borderId="19" xfId="58" applyNumberFormat="1" applyFont="1" applyFill="1" applyBorder="1" applyAlignment="1">
      <alignment horizontal="right" vertical="center"/>
    </xf>
    <xf numFmtId="179" fontId="0" fillId="0" borderId="8" xfId="60" applyNumberFormat="1" applyFont="1" applyFill="1" applyBorder="1" applyAlignment="1" applyProtection="1">
      <alignment vertical="center"/>
    </xf>
    <xf numFmtId="179" fontId="8" fillId="2" borderId="20" xfId="58" applyNumberFormat="1" applyFont="1" applyFill="1" applyBorder="1" applyAlignment="1">
      <alignment horizontal="right" vertical="center"/>
    </xf>
    <xf numFmtId="179" fontId="8" fillId="0" borderId="8" xfId="60" applyNumberFormat="1" applyFont="1" applyFill="1" applyBorder="1" applyAlignment="1" applyProtection="1">
      <alignment horizontal="right" vertical="center"/>
    </xf>
    <xf numFmtId="179" fontId="8" fillId="2" borderId="17" xfId="58" applyNumberFormat="1" applyFont="1" applyFill="1" applyBorder="1" applyAlignment="1">
      <alignment horizontal="right" vertical="center"/>
    </xf>
    <xf numFmtId="179" fontId="8" fillId="2" borderId="18" xfId="58" applyNumberFormat="1" applyFont="1" applyFill="1" applyBorder="1" applyAlignment="1">
      <alignment horizontal="right" vertical="center"/>
    </xf>
    <xf numFmtId="179" fontId="8" fillId="2" borderId="21" xfId="58" applyNumberFormat="1" applyFont="1" applyFill="1" applyBorder="1" applyAlignment="1">
      <alignment horizontal="right" vertical="center"/>
    </xf>
    <xf numFmtId="179" fontId="8" fillId="2" borderId="22" xfId="58" applyNumberFormat="1" applyFont="1" applyFill="1" applyBorder="1" applyAlignment="1">
      <alignment horizontal="right" vertical="center"/>
    </xf>
    <xf numFmtId="0" fontId="8" fillId="2" borderId="8" xfId="60" applyNumberFormat="1" applyFont="1" applyFill="1" applyBorder="1" applyAlignment="1" applyProtection="1">
      <alignment vertical="center"/>
    </xf>
    <xf numFmtId="0" fontId="1" fillId="0" borderId="8" xfId="60" applyFont="1" applyFill="1" applyBorder="1"/>
    <xf numFmtId="179" fontId="1" fillId="0" borderId="8" xfId="60" applyNumberFormat="1" applyFont="1" applyFill="1" applyBorder="1" applyAlignment="1"/>
    <xf numFmtId="0" fontId="1" fillId="0" borderId="8" xfId="60" applyFont="1" applyFill="1" applyBorder="1" applyAlignment="1"/>
    <xf numFmtId="179" fontId="0" fillId="0" borderId="8" xfId="60" applyNumberFormat="1" applyFont="1" applyFill="1" applyBorder="1"/>
    <xf numFmtId="178" fontId="8" fillId="0" borderId="8" xfId="60" applyNumberFormat="1" applyFont="1" applyFill="1" applyBorder="1" applyAlignment="1" applyProtection="1">
      <alignment horizontal="right" vertical="center"/>
    </xf>
    <xf numFmtId="179" fontId="13" fillId="0" borderId="8" xfId="60" applyNumberFormat="1" applyFont="1" applyFill="1" applyBorder="1" applyAlignment="1" applyProtection="1">
      <alignment horizontal="right" vertical="center"/>
    </xf>
    <xf numFmtId="0" fontId="12" fillId="2" borderId="8" xfId="60" applyNumberFormat="1" applyFont="1" applyFill="1" applyBorder="1" applyAlignment="1" applyProtection="1">
      <alignment horizontal="center" vertical="center"/>
    </xf>
    <xf numFmtId="178" fontId="6" fillId="0" borderId="8" xfId="60" applyNumberFormat="1" applyFont="1" applyFill="1" applyBorder="1" applyAlignment="1" applyProtection="1">
      <alignment horizontal="right" vertical="center"/>
    </xf>
    <xf numFmtId="179" fontId="12" fillId="0" borderId="8" xfId="60" applyNumberFormat="1" applyFont="1" applyFill="1" applyBorder="1" applyAlignment="1" applyProtection="1">
      <alignment horizontal="center" vertical="center"/>
    </xf>
    <xf numFmtId="178" fontId="12" fillId="0" borderId="8" xfId="60" applyNumberFormat="1" applyFont="1" applyFill="1" applyBorder="1" applyAlignment="1">
      <alignment horizontal="right" vertical="center"/>
    </xf>
    <xf numFmtId="0" fontId="8" fillId="0" borderId="0" xfId="60" applyNumberFormat="1" applyFont="1" applyFill="1" applyAlignment="1" applyProtection="1">
      <alignment horizontal="right"/>
    </xf>
    <xf numFmtId="0" fontId="0" fillId="0" borderId="0" xfId="60" applyNumberFormat="1" applyFont="1" applyFill="1" applyAlignment="1" applyProtection="1"/>
    <xf numFmtId="0" fontId="8" fillId="0" borderId="0" xfId="60" applyNumberFormat="1" applyFont="1" applyFill="1" applyAlignment="1" applyProtection="1">
      <alignment vertical="center"/>
    </xf>
    <xf numFmtId="0" fontId="14" fillId="0" borderId="0" xfId="60" applyNumberFormat="1" applyFont="1" applyFill="1" applyAlignment="1" applyProtection="1">
      <alignment vertical="center"/>
    </xf>
    <xf numFmtId="0" fontId="4" fillId="0" borderId="8" xfId="60" applyNumberFormat="1" applyFont="1" applyFill="1" applyBorder="1" applyAlignment="1" applyProtection="1">
      <alignment horizontal="center" vertical="center"/>
    </xf>
    <xf numFmtId="0" fontId="4" fillId="0" borderId="8" xfId="60" applyNumberFormat="1" applyFont="1" applyFill="1" applyBorder="1" applyAlignment="1" applyProtection="1">
      <alignment horizontal="center" vertical="center" wrapText="1"/>
    </xf>
    <xf numFmtId="0" fontId="12" fillId="0" borderId="8" xfId="60" applyNumberFormat="1" applyFont="1" applyFill="1" applyBorder="1" applyAlignment="1" applyProtection="1">
      <alignment horizontal="left" vertical="center"/>
    </xf>
    <xf numFmtId="178" fontId="12" fillId="0" borderId="8" xfId="60" applyNumberFormat="1" applyFont="1" applyFill="1" applyBorder="1" applyAlignment="1" applyProtection="1">
      <alignment vertical="center"/>
    </xf>
    <xf numFmtId="0" fontId="0" fillId="0" borderId="8" xfId="60" applyNumberFormat="1" applyFont="1" applyFill="1" applyBorder="1" applyAlignment="1" applyProtection="1">
      <alignment horizontal="left" vertical="center"/>
    </xf>
    <xf numFmtId="0" fontId="0" fillId="0" borderId="8" xfId="60" applyNumberFormat="1" applyFont="1" applyFill="1" applyBorder="1" applyAlignment="1" applyProtection="1">
      <alignment vertical="center"/>
    </xf>
    <xf numFmtId="0" fontId="8" fillId="0" borderId="8" xfId="60" applyNumberFormat="1" applyFont="1" applyFill="1" applyBorder="1" applyAlignment="1" applyProtection="1">
      <alignment horizontal="left" vertical="center"/>
    </xf>
    <xf numFmtId="179" fontId="15" fillId="0" borderId="23" xfId="58" applyNumberFormat="1" applyFont="1" applyFill="1" applyBorder="1" applyAlignment="1">
      <alignment horizontal="right" vertical="center"/>
    </xf>
    <xf numFmtId="0" fontId="1" fillId="2" borderId="0" xfId="60" applyNumberFormat="1" applyFont="1" applyFill="1" applyAlignment="1" applyProtection="1"/>
    <xf numFmtId="0" fontId="1" fillId="0" borderId="0" xfId="60" applyNumberFormat="1" applyFont="1" applyFill="1" applyAlignment="1" applyProtection="1"/>
    <xf numFmtId="0" fontId="16" fillId="2" borderId="0" xfId="60" applyNumberFormat="1" applyFont="1" applyFill="1" applyAlignment="1" applyProtection="1">
      <alignment horizontal="center" vertical="center"/>
    </xf>
    <xf numFmtId="0" fontId="17" fillId="0" borderId="0" xfId="60" applyNumberFormat="1" applyFont="1" applyFill="1" applyAlignment="1" applyProtection="1">
      <alignment horizontal="center" vertical="center"/>
    </xf>
    <xf numFmtId="0" fontId="9" fillId="2" borderId="0" xfId="60" applyNumberFormat="1" applyFont="1" applyFill="1" applyAlignment="1" applyProtection="1"/>
    <xf numFmtId="0" fontId="9" fillId="0" borderId="0" xfId="60" applyNumberFormat="1" applyFont="1" applyFill="1" applyAlignment="1" applyProtection="1"/>
    <xf numFmtId="0" fontId="18" fillId="2" borderId="0" xfId="60" applyNumberFormat="1" applyFont="1" applyFill="1" applyAlignment="1" applyProtection="1">
      <alignment vertical="center"/>
    </xf>
    <xf numFmtId="14" fontId="1" fillId="0" borderId="0" xfId="60" applyNumberFormat="1" applyFont="1" applyFill="1"/>
    <xf numFmtId="0" fontId="8" fillId="2" borderId="0" xfId="60" applyNumberFormat="1" applyFont="1" applyFill="1" applyAlignment="1" applyProtection="1"/>
    <xf numFmtId="0" fontId="11" fillId="0" borderId="0" xfId="60" applyFont="1"/>
    <xf numFmtId="0" fontId="0" fillId="0" borderId="0" xfId="0" applyFont="1" applyFill="1" applyAlignment="1">
      <alignment vertical="center"/>
    </xf>
    <xf numFmtId="0" fontId="19" fillId="0" borderId="0" xfId="60" applyFont="1" applyAlignment="1">
      <alignment horizontal="center"/>
    </xf>
    <xf numFmtId="0" fontId="20" fillId="0" borderId="0" xfId="60" applyFont="1"/>
    <xf numFmtId="0" fontId="20" fillId="0" borderId="0" xfId="60" applyFont="1" applyFill="1"/>
    <xf numFmtId="0" fontId="21" fillId="0" borderId="0" xfId="60" applyFont="1" applyAlignment="1">
      <alignment horizontal="center"/>
    </xf>
    <xf numFmtId="0" fontId="22" fillId="0" borderId="0" xfId="60" applyFont="1" applyAlignment="1">
      <alignment vertical="top"/>
    </xf>
    <xf numFmtId="0" fontId="22" fillId="0" borderId="0" xfId="60" applyFont="1" applyFill="1" applyAlignment="1">
      <alignment vertical="top"/>
    </xf>
    <xf numFmtId="0" fontId="23" fillId="0" borderId="0" xfId="60" applyFont="1" applyFill="1" applyAlignment="1">
      <alignment vertical="top"/>
    </xf>
    <xf numFmtId="0" fontId="23" fillId="0" borderId="0" xfId="60" applyFont="1" applyAlignment="1">
      <alignment vertical="top"/>
    </xf>
    <xf numFmtId="0" fontId="22" fillId="0" borderId="0" xfId="60" applyFont="1" applyAlignment="1">
      <alignment horizontal="center" vertical="top"/>
    </xf>
    <xf numFmtId="0" fontId="11" fillId="0" borderId="0" xfId="60" applyFont="1" applyFill="1" applyAlignment="1">
      <alignment horizontal="center" vertical="top"/>
    </xf>
    <xf numFmtId="0" fontId="24" fillId="0" borderId="0" xfId="60" applyFont="1" applyFill="1"/>
    <xf numFmtId="0" fontId="23" fillId="0" borderId="0" xfId="60" applyFont="1" applyAlignment="1"/>
    <xf numFmtId="0" fontId="23" fillId="0" borderId="0" xfId="60" applyFont="1" applyFill="1" applyAlignment="1"/>
    <xf numFmtId="0" fontId="11" fillId="0" borderId="0" xfId="60" applyFont="1" applyFill="1" applyAlignment="1">
      <alignment horizontal="center" vertical="center"/>
    </xf>
    <xf numFmtId="0" fontId="21" fillId="0" borderId="0" xfId="57" applyFont="1" applyAlignment="1">
      <alignment horizontal="center" vertical="center"/>
    </xf>
    <xf numFmtId="0" fontId="1" fillId="0" borderId="0" xfId="60" applyFont="1" applyAlignment="1">
      <alignment horizontal="left" vertical="center"/>
    </xf>
    <xf numFmtId="0" fontId="0" fillId="0" borderId="0" xfId="60" applyFont="1" applyFill="1" applyAlignment="1">
      <alignment horizontal="right" vertical="center"/>
    </xf>
    <xf numFmtId="0" fontId="25" fillId="0" borderId="0" xfId="60" applyFont="1" applyFill="1"/>
    <xf numFmtId="0" fontId="25" fillId="0" borderId="0" xfId="60" applyFont="1"/>
    <xf numFmtId="0" fontId="4" fillId="0" borderId="8" xfId="60" applyFont="1" applyFill="1" applyBorder="1" applyAlignment="1">
      <alignment horizontal="center" vertical="center"/>
    </xf>
    <xf numFmtId="0" fontId="12" fillId="2" borderId="8" xfId="62" applyFont="1" applyFill="1" applyBorder="1" applyAlignment="1">
      <alignment horizontal="left" vertical="center" wrapText="1"/>
    </xf>
    <xf numFmtId="0" fontId="12" fillId="0" borderId="8" xfId="60" applyFont="1" applyFill="1" applyBorder="1" applyAlignment="1">
      <alignment horizontal="center" vertical="center"/>
    </xf>
    <xf numFmtId="0" fontId="0" fillId="2" borderId="8" xfId="62" applyFont="1" applyFill="1" applyBorder="1" applyAlignment="1">
      <alignment horizontal="left" vertical="center" wrapText="1" indent="3"/>
    </xf>
    <xf numFmtId="0" fontId="0" fillId="0" borderId="8" xfId="60" applyFont="1" applyFill="1" applyBorder="1" applyAlignment="1">
      <alignment horizontal="center" vertical="center"/>
    </xf>
    <xf numFmtId="0" fontId="0" fillId="0" borderId="8" xfId="60" applyFont="1" applyFill="1" applyBorder="1" applyAlignment="1">
      <alignment horizontal="right" vertical="center"/>
    </xf>
    <xf numFmtId="0" fontId="0" fillId="2" borderId="8" xfId="62" applyFont="1" applyFill="1" applyBorder="1" applyAlignment="1">
      <alignment horizontal="left" vertical="center" indent="3" shrinkToFit="1"/>
    </xf>
    <xf numFmtId="0" fontId="12" fillId="0" borderId="8" xfId="60" applyFont="1" applyFill="1" applyBorder="1" applyAlignment="1">
      <alignment horizontal="right" vertical="center"/>
    </xf>
    <xf numFmtId="0" fontId="4" fillId="2" borderId="8" xfId="62" applyFont="1" applyFill="1" applyBorder="1" applyAlignment="1">
      <alignment horizontal="left" vertical="center" wrapText="1" indent="1"/>
    </xf>
    <xf numFmtId="0" fontId="0" fillId="0" borderId="8" xfId="0" applyFont="1" applyFill="1" applyBorder="1" applyAlignment="1">
      <alignment horizontal="right" vertical="center"/>
    </xf>
    <xf numFmtId="0" fontId="26" fillId="0" borderId="0" xfId="60" applyFont="1" applyFill="1"/>
    <xf numFmtId="0" fontId="0" fillId="2" borderId="8" xfId="62" applyFont="1" applyFill="1" applyBorder="1" applyAlignment="1">
      <alignment horizontal="right" vertical="center" wrapText="1"/>
    </xf>
    <xf numFmtId="180" fontId="27" fillId="0" borderId="8" xfId="56" applyNumberFormat="1" applyFont="1" applyBorder="1" applyAlignment="1">
      <alignment horizontal="right" vertical="center" wrapText="1"/>
    </xf>
    <xf numFmtId="180" fontId="27" fillId="0" borderId="8" xfId="56" applyNumberFormat="1" applyFont="1" applyBorder="1" applyAlignment="1">
      <alignment horizontal="right" vertical="center"/>
    </xf>
    <xf numFmtId="0" fontId="25" fillId="0" borderId="0" xfId="60" applyFont="1" applyFill="1" applyAlignment="1">
      <alignment vertical="center"/>
    </xf>
    <xf numFmtId="0" fontId="25" fillId="0" borderId="0" xfId="60" applyFont="1" applyAlignment="1">
      <alignment vertical="center"/>
    </xf>
    <xf numFmtId="0" fontId="12" fillId="0" borderId="8" xfId="60" applyFont="1" applyBorder="1" applyAlignment="1">
      <alignment vertical="center"/>
    </xf>
    <xf numFmtId="0" fontId="12" fillId="0" borderId="8" xfId="60" applyFont="1" applyBorder="1" applyAlignment="1">
      <alignment horizontal="right" vertical="center"/>
    </xf>
    <xf numFmtId="0" fontId="0" fillId="0" borderId="8" xfId="60" applyFont="1" applyFill="1" applyBorder="1" applyAlignment="1">
      <alignment horizontal="left" vertical="center" indent="3"/>
    </xf>
    <xf numFmtId="0" fontId="28" fillId="0" borderId="8" xfId="60" applyFont="1" applyBorder="1" applyAlignment="1">
      <alignment horizontal="right" vertical="center"/>
    </xf>
    <xf numFmtId="0" fontId="1" fillId="0" borderId="0" xfId="57" applyFont="1" applyAlignment="1">
      <alignment horizontal="left" vertical="center"/>
    </xf>
    <xf numFmtId="0" fontId="29" fillId="0" borderId="0" xfId="57" applyFont="1" applyFill="1" applyAlignment="1">
      <alignment horizontal="center" vertical="center"/>
    </xf>
    <xf numFmtId="0" fontId="0" fillId="0" borderId="0" xfId="60" applyFont="1" applyAlignment="1">
      <alignment horizontal="right" vertical="center"/>
    </xf>
    <xf numFmtId="0" fontId="4" fillId="0" borderId="8" xfId="57" applyFont="1" applyFill="1" applyBorder="1" applyAlignment="1">
      <alignment horizontal="center" vertical="center"/>
    </xf>
    <xf numFmtId="0" fontId="4" fillId="0" borderId="8" xfId="57" applyFont="1" applyFill="1" applyBorder="1" applyAlignment="1">
      <alignment horizontal="center" vertical="center" wrapText="1"/>
    </xf>
    <xf numFmtId="0" fontId="12" fillId="0" borderId="8" xfId="57" applyFont="1" applyFill="1" applyBorder="1" applyAlignment="1">
      <alignment horizontal="left" vertical="center"/>
    </xf>
    <xf numFmtId="0" fontId="12" fillId="0" borderId="8" xfId="57" applyFont="1" applyFill="1" applyBorder="1" applyAlignment="1">
      <alignment horizontal="right" vertical="center"/>
    </xf>
    <xf numFmtId="0" fontId="12" fillId="0" borderId="8" xfId="49" applyFont="1" applyFill="1" applyBorder="1" applyAlignment="1">
      <alignment horizontal="left" vertical="center" wrapText="1"/>
    </xf>
    <xf numFmtId="49" fontId="12" fillId="2" borderId="8" xfId="49" applyNumberFormat="1" applyFont="1" applyFill="1" applyBorder="1" applyAlignment="1">
      <alignment horizontal="center" vertical="center" wrapText="1"/>
    </xf>
    <xf numFmtId="0" fontId="12" fillId="0" borderId="8" xfId="49" applyFont="1" applyFill="1" applyBorder="1" applyAlignment="1">
      <alignment horizontal="center" vertical="center" wrapText="1"/>
    </xf>
    <xf numFmtId="0" fontId="12" fillId="2" borderId="8" xfId="49" applyFont="1" applyFill="1" applyBorder="1" applyAlignment="1">
      <alignment horizontal="center" vertical="center" wrapText="1"/>
    </xf>
    <xf numFmtId="0" fontId="0" fillId="0" borderId="8" xfId="49" applyFont="1" applyFill="1" applyBorder="1" applyAlignment="1">
      <alignment horizontal="left" vertical="center" wrapText="1"/>
    </xf>
    <xf numFmtId="49" fontId="4" fillId="2" borderId="8" xfId="49" applyNumberFormat="1" applyFont="1" applyFill="1" applyBorder="1" applyAlignment="1">
      <alignment horizontal="center" vertical="center" wrapText="1"/>
    </xf>
    <xf numFmtId="0" fontId="4" fillId="0" borderId="8" xfId="49" applyFont="1" applyFill="1" applyBorder="1" applyAlignment="1">
      <alignment horizontal="center" vertical="center" wrapText="1"/>
    </xf>
    <xf numFmtId="0" fontId="4" fillId="2" borderId="8" xfId="49" applyFont="1" applyFill="1" applyBorder="1" applyAlignment="1">
      <alignment horizontal="center" vertical="center" wrapText="1"/>
    </xf>
    <xf numFmtId="49" fontId="13" fillId="2" borderId="8" xfId="49" applyNumberFormat="1" applyFont="1" applyFill="1" applyBorder="1" applyAlignment="1">
      <alignment horizontal="center" vertical="center" wrapText="1"/>
    </xf>
    <xf numFmtId="0" fontId="13" fillId="0" borderId="8" xfId="49" applyFont="1" applyFill="1" applyBorder="1" applyAlignment="1">
      <alignment horizontal="center" vertical="center" wrapText="1"/>
    </xf>
    <xf numFmtId="0" fontId="13" fillId="0" borderId="8" xfId="49" applyNumberFormat="1" applyFont="1" applyFill="1" applyBorder="1" applyAlignment="1">
      <alignment horizontal="center" vertical="center" wrapText="1"/>
    </xf>
    <xf numFmtId="0" fontId="13" fillId="2" borderId="8" xfId="49" applyNumberFormat="1" applyFont="1" applyFill="1" applyBorder="1" applyAlignment="1">
      <alignment horizontal="center" vertical="center" wrapText="1"/>
    </xf>
    <xf numFmtId="0" fontId="13" fillId="2" borderId="8" xfId="49" applyFont="1" applyFill="1" applyBorder="1" applyAlignment="1">
      <alignment horizontal="center" vertical="center" wrapText="1"/>
    </xf>
    <xf numFmtId="49" fontId="12" fillId="0" borderId="8" xfId="49" applyNumberFormat="1" applyFont="1" applyFill="1" applyBorder="1" applyAlignment="1">
      <alignment horizontal="center" vertical="center" wrapText="1"/>
    </xf>
    <xf numFmtId="0" fontId="12" fillId="0" borderId="8" xfId="49" applyNumberFormat="1" applyFont="1" applyFill="1" applyBorder="1" applyAlignment="1">
      <alignment horizontal="center" vertical="center" wrapText="1"/>
    </xf>
    <xf numFmtId="0" fontId="4" fillId="0" borderId="8" xfId="49" applyNumberFormat="1" applyFont="1" applyFill="1" applyBorder="1" applyAlignment="1">
      <alignment horizontal="center" vertical="center" wrapText="1"/>
    </xf>
    <xf numFmtId="0" fontId="4" fillId="2" borderId="8" xfId="49" applyNumberFormat="1" applyFont="1" applyFill="1" applyBorder="1" applyAlignment="1">
      <alignment horizontal="center" vertical="center" wrapText="1"/>
    </xf>
    <xf numFmtId="0" fontId="0" fillId="2" borderId="8" xfId="62" applyFont="1" applyFill="1" applyBorder="1" applyAlignment="1">
      <alignment horizontal="left" vertical="center" wrapText="1" indent="2"/>
    </xf>
    <xf numFmtId="0" fontId="0" fillId="0" borderId="0" xfId="60" applyFont="1"/>
    <xf numFmtId="0" fontId="4" fillId="0" borderId="0" xfId="60" applyFont="1"/>
    <xf numFmtId="181" fontId="11" fillId="0" borderId="0" xfId="60" applyNumberFormat="1" applyFont="1" applyFill="1"/>
    <xf numFmtId="181" fontId="0" fillId="0" borderId="0" xfId="60" applyNumberFormat="1" applyFont="1" applyFill="1"/>
    <xf numFmtId="0" fontId="21" fillId="0" borderId="0" xfId="60" applyFont="1" applyAlignment="1">
      <alignment horizontal="center" vertical="center"/>
    </xf>
    <xf numFmtId="181" fontId="4" fillId="0" borderId="8" xfId="57" applyNumberFormat="1" applyFont="1" applyFill="1" applyBorder="1" applyAlignment="1">
      <alignment horizontal="center" vertical="center" wrapText="1"/>
    </xf>
    <xf numFmtId="0" fontId="0" fillId="0" borderId="8" xfId="57" applyFont="1" applyFill="1" applyBorder="1" applyAlignment="1">
      <alignment horizontal="right" vertical="center"/>
    </xf>
    <xf numFmtId="181" fontId="0" fillId="0" borderId="8" xfId="57" applyNumberFormat="1" applyFont="1" applyFill="1" applyBorder="1" applyAlignment="1">
      <alignment horizontal="right" vertical="center" wrapText="1"/>
    </xf>
    <xf numFmtId="179" fontId="12" fillId="2" borderId="8" xfId="50" applyNumberFormat="1" applyFont="1" applyFill="1" applyBorder="1" applyAlignment="1">
      <alignment horizontal="right" vertical="center" wrapText="1"/>
    </xf>
    <xf numFmtId="179" fontId="12" fillId="0" borderId="8" xfId="50" applyNumberFormat="1" applyFont="1" applyFill="1" applyBorder="1" applyAlignment="1">
      <alignment horizontal="right" vertical="center" wrapText="1"/>
    </xf>
    <xf numFmtId="181" fontId="12" fillId="0" borderId="8" xfId="60" applyNumberFormat="1" applyFont="1" applyFill="1" applyBorder="1" applyAlignment="1">
      <alignment horizontal="right" vertical="center" wrapText="1"/>
    </xf>
    <xf numFmtId="179" fontId="4" fillId="2" borderId="8" xfId="50" applyNumberFormat="1" applyFont="1" applyFill="1" applyBorder="1" applyAlignment="1">
      <alignment horizontal="right" vertical="center" wrapText="1"/>
    </xf>
    <xf numFmtId="179" fontId="4" fillId="0" borderId="8" xfId="50" applyNumberFormat="1" applyFont="1" applyFill="1" applyBorder="1" applyAlignment="1">
      <alignment horizontal="right" vertical="center" wrapText="1"/>
    </xf>
    <xf numFmtId="181" fontId="4" fillId="0" borderId="8" xfId="60" applyNumberFormat="1" applyFont="1" applyFill="1" applyBorder="1" applyAlignment="1">
      <alignment horizontal="right" vertical="center" wrapText="1"/>
    </xf>
    <xf numFmtId="179" fontId="0" fillId="2" borderId="8" xfId="50" applyNumberFormat="1" applyFont="1" applyFill="1" applyBorder="1" applyAlignment="1">
      <alignment horizontal="right" vertical="center" wrapText="1"/>
    </xf>
    <xf numFmtId="0" fontId="0" fillId="0" borderId="8" xfId="60" applyFont="1" applyFill="1" applyBorder="1" applyAlignment="1">
      <alignment horizontal="right" vertical="center" wrapText="1"/>
    </xf>
    <xf numFmtId="181" fontId="0" fillId="0" borderId="8" xfId="60" applyNumberFormat="1" applyFont="1" applyFill="1" applyBorder="1" applyAlignment="1">
      <alignment horizontal="right" vertical="center" wrapText="1"/>
    </xf>
    <xf numFmtId="0" fontId="12" fillId="2" borderId="8" xfId="62" applyNumberFormat="1" applyFont="1" applyFill="1" applyBorder="1" applyAlignment="1">
      <alignment horizontal="right" vertical="center" wrapText="1"/>
    </xf>
    <xf numFmtId="0" fontId="12" fillId="0" borderId="8" xfId="62" applyFont="1" applyFill="1" applyBorder="1" applyAlignment="1">
      <alignment horizontal="right" vertical="center" wrapText="1"/>
    </xf>
    <xf numFmtId="0" fontId="4" fillId="2" borderId="8" xfId="62" applyNumberFormat="1" applyFont="1" applyFill="1" applyBorder="1" applyAlignment="1">
      <alignment horizontal="right" vertical="center" wrapText="1"/>
    </xf>
    <xf numFmtId="0" fontId="4" fillId="0" borderId="8" xfId="62" applyFont="1" applyFill="1" applyBorder="1" applyAlignment="1">
      <alignment horizontal="right" vertical="center" wrapText="1"/>
    </xf>
    <xf numFmtId="0" fontId="21" fillId="0" borderId="0" xfId="60" applyFont="1" applyFill="1" applyAlignment="1">
      <alignment horizontal="center" vertical="center"/>
    </xf>
    <xf numFmtId="0" fontId="1" fillId="0" borderId="0" xfId="57" applyFont="1" applyFill="1" applyAlignment="1">
      <alignment horizontal="left" vertical="center"/>
    </xf>
    <xf numFmtId="0" fontId="12" fillId="0" borderId="8" xfId="62" applyFont="1" applyFill="1" applyBorder="1" applyAlignment="1">
      <alignment horizontal="left" vertical="center" wrapText="1"/>
    </xf>
    <xf numFmtId="0" fontId="30" fillId="0" borderId="0" xfId="60" applyFont="1" applyFill="1"/>
    <xf numFmtId="0" fontId="0" fillId="0" borderId="8" xfId="62" applyFont="1" applyFill="1" applyBorder="1" applyAlignment="1">
      <alignment horizontal="left" vertical="center" wrapText="1"/>
    </xf>
    <xf numFmtId="179" fontId="0" fillId="0" borderId="8" xfId="50" applyNumberFormat="1" applyFont="1" applyFill="1" applyBorder="1" applyAlignment="1">
      <alignment horizontal="right" vertical="center" wrapText="1"/>
    </xf>
    <xf numFmtId="0" fontId="4" fillId="0" borderId="8" xfId="60" applyFont="1" applyFill="1" applyBorder="1" applyAlignment="1">
      <alignment horizontal="right" vertical="center" wrapText="1"/>
    </xf>
    <xf numFmtId="0" fontId="0" fillId="0" borderId="8" xfId="62" applyFont="1" applyFill="1" applyBorder="1" applyAlignment="1">
      <alignment horizontal="right" vertical="center" wrapText="1"/>
    </xf>
    <xf numFmtId="0" fontId="0" fillId="0" borderId="0" xfId="57" applyFont="1" applyFill="1" applyAlignment="1">
      <alignment horizontal="left" vertical="center"/>
    </xf>
    <xf numFmtId="0" fontId="31" fillId="0" borderId="0" xfId="57" applyFont="1" applyAlignment="1">
      <alignment horizontal="center" vertical="center"/>
    </xf>
    <xf numFmtId="0" fontId="31" fillId="0" borderId="0" xfId="57" applyFont="1" applyFill="1" applyAlignment="1">
      <alignment horizontal="center" vertical="center"/>
    </xf>
    <xf numFmtId="181" fontId="31" fillId="0" borderId="0" xfId="57" applyNumberFormat="1" applyFont="1" applyFill="1" applyAlignment="1">
      <alignment horizontal="center" vertical="center"/>
    </xf>
    <xf numFmtId="0" fontId="0" fillId="0" borderId="24" xfId="57" applyFont="1" applyBorder="1" applyAlignment="1">
      <alignment horizontal="right" vertical="center"/>
    </xf>
    <xf numFmtId="0" fontId="12" fillId="0" borderId="8" xfId="57" applyFont="1" applyFill="1" applyBorder="1" applyAlignment="1">
      <alignment horizontal="left" vertical="center" wrapText="1"/>
    </xf>
    <xf numFmtId="179" fontId="12" fillId="0" borderId="8" xfId="57" applyNumberFormat="1" applyFont="1" applyFill="1" applyBorder="1" applyAlignment="1">
      <alignment horizontal="right" vertical="center" wrapText="1"/>
    </xf>
    <xf numFmtId="181" fontId="12" fillId="0" borderId="8" xfId="57" applyNumberFormat="1" applyFont="1" applyFill="1" applyBorder="1" applyAlignment="1">
      <alignment horizontal="right" vertical="center" wrapText="1"/>
    </xf>
    <xf numFmtId="0" fontId="0" fillId="0" borderId="8" xfId="57" applyFont="1" applyFill="1" applyBorder="1" applyAlignment="1">
      <alignment horizontal="left" vertical="center" wrapText="1"/>
    </xf>
    <xf numFmtId="179" fontId="0" fillId="0" borderId="8" xfId="57" applyNumberFormat="1" applyFont="1" applyFill="1" applyBorder="1" applyAlignment="1">
      <alignment horizontal="right" vertical="center" wrapText="1"/>
    </xf>
    <xf numFmtId="0" fontId="0" fillId="2" borderId="8" xfId="62" applyFont="1" applyFill="1" applyBorder="1" applyAlignment="1">
      <alignment horizontal="left" vertical="center" wrapText="1"/>
    </xf>
    <xf numFmtId="0" fontId="4" fillId="0" borderId="8" xfId="57" applyFont="1" applyFill="1" applyBorder="1" applyAlignment="1">
      <alignment horizontal="left" vertical="center" wrapText="1" indent="1"/>
    </xf>
    <xf numFmtId="179" fontId="4" fillId="0" borderId="8" xfId="57" applyNumberFormat="1" applyFont="1" applyFill="1" applyBorder="1" applyAlignment="1">
      <alignment horizontal="right" vertical="center" wrapText="1"/>
    </xf>
    <xf numFmtId="0" fontId="0" fillId="0" borderId="8" xfId="57" applyFont="1" applyFill="1" applyBorder="1" applyAlignment="1">
      <alignment horizontal="left" vertical="center" indent="2" shrinkToFit="1"/>
    </xf>
    <xf numFmtId="0" fontId="12" fillId="0" borderId="8" xfId="57" applyFont="1" applyFill="1" applyBorder="1" applyAlignment="1">
      <alignment horizontal="center" vertical="center" wrapText="1"/>
    </xf>
    <xf numFmtId="179" fontId="12" fillId="0" borderId="8" xfId="57" applyNumberFormat="1" applyFont="1" applyFill="1" applyBorder="1" applyAlignment="1">
      <alignment horizontal="center" vertical="center" wrapText="1"/>
    </xf>
    <xf numFmtId="178" fontId="12" fillId="0" borderId="8" xfId="57" applyNumberFormat="1" applyFont="1" applyFill="1" applyBorder="1" applyAlignment="1">
      <alignment horizontal="right" vertical="center" wrapText="1"/>
    </xf>
    <xf numFmtId="0" fontId="12" fillId="0" borderId="8" xfId="57" applyFont="1" applyFill="1" applyBorder="1" applyAlignment="1">
      <alignment horizontal="center" vertical="center"/>
    </xf>
    <xf numFmtId="179" fontId="32" fillId="0" borderId="8" xfId="57" applyNumberFormat="1" applyFont="1" applyFill="1" applyBorder="1" applyAlignment="1">
      <alignment horizontal="right" vertical="center"/>
    </xf>
    <xf numFmtId="49" fontId="32" fillId="0" borderId="8" xfId="57" applyNumberFormat="1" applyFont="1" applyFill="1" applyBorder="1" applyAlignment="1">
      <alignment horizontal="right" vertical="center"/>
    </xf>
    <xf numFmtId="179" fontId="12" fillId="0" borderId="8" xfId="57" applyNumberFormat="1" applyFont="1" applyFill="1" applyBorder="1" applyAlignment="1">
      <alignment horizontal="center" vertical="center"/>
    </xf>
    <xf numFmtId="178" fontId="0" fillId="0" borderId="8" xfId="57" applyNumberFormat="1" applyFont="1" applyFill="1" applyBorder="1" applyAlignment="1">
      <alignment horizontal="right" vertical="center"/>
    </xf>
    <xf numFmtId="0" fontId="0" fillId="0" borderId="8" xfId="57" applyFont="1" applyFill="1" applyBorder="1" applyAlignment="1">
      <alignment horizontal="center" vertical="center"/>
    </xf>
    <xf numFmtId="179" fontId="0" fillId="0" borderId="8" xfId="57" applyNumberFormat="1" applyFont="1" applyFill="1" applyBorder="1" applyAlignment="1">
      <alignment horizontal="right" vertical="center"/>
    </xf>
    <xf numFmtId="49" fontId="0" fillId="0" borderId="8" xfId="57" applyNumberFormat="1" applyFont="1" applyFill="1" applyBorder="1" applyAlignment="1">
      <alignment horizontal="right" vertical="center"/>
    </xf>
    <xf numFmtId="179" fontId="0" fillId="0" borderId="8" xfId="57" applyNumberFormat="1" applyFont="1" applyFill="1" applyBorder="1" applyAlignment="1">
      <alignment horizontal="center" vertical="center"/>
    </xf>
    <xf numFmtId="181" fontId="11" fillId="0" borderId="0" xfId="60" applyNumberFormat="1" applyFont="1"/>
    <xf numFmtId="0" fontId="27" fillId="0" borderId="0" xfId="60" applyFont="1"/>
    <xf numFmtId="0" fontId="31" fillId="0" borderId="0" xfId="60" applyFont="1"/>
    <xf numFmtId="0" fontId="27" fillId="0" borderId="0" xfId="60" applyFont="1" applyAlignment="1">
      <alignment wrapText="1"/>
    </xf>
    <xf numFmtId="181" fontId="4" fillId="0" borderId="8" xfId="57" applyNumberFormat="1" applyFont="1" applyFill="1" applyBorder="1" applyAlignment="1">
      <alignment horizontal="right" vertical="center" wrapText="1"/>
    </xf>
    <xf numFmtId="0" fontId="31" fillId="0" borderId="0" xfId="60" applyFont="1" applyAlignment="1">
      <alignment wrapText="1"/>
    </xf>
    <xf numFmtId="181" fontId="0" fillId="0" borderId="8" xfId="57" applyNumberFormat="1" applyFont="1" applyFill="1" applyBorder="1" applyAlignment="1">
      <alignment horizontal="right" vertical="center"/>
    </xf>
    <xf numFmtId="0" fontId="11" fillId="0" borderId="0" xfId="60" applyFont="1" applyFill="1" applyAlignment="1">
      <alignment horizontal="left" vertical="center"/>
    </xf>
    <xf numFmtId="0" fontId="11" fillId="2" borderId="0" xfId="60" applyNumberFormat="1" applyFont="1" applyFill="1" applyAlignment="1" applyProtection="1"/>
    <xf numFmtId="0" fontId="11" fillId="0" borderId="0" xfId="60" applyNumberFormat="1" applyFont="1" applyFill="1" applyAlignment="1" applyProtection="1">
      <alignment horizontal="left" vertical="center"/>
    </xf>
    <xf numFmtId="0" fontId="19" fillId="2" borderId="0" xfId="60" applyNumberFormat="1" applyFont="1" applyFill="1" applyAlignment="1" applyProtection="1">
      <alignment horizontal="center" vertical="center"/>
    </xf>
    <xf numFmtId="0" fontId="11" fillId="0" borderId="0" xfId="60" applyNumberFormat="1" applyFont="1" applyFill="1" applyAlignment="1" applyProtection="1">
      <alignment horizontal="center" vertical="center"/>
    </xf>
    <xf numFmtId="0" fontId="0" fillId="0" borderId="0" xfId="60" applyNumberFormat="1" applyFont="1" applyFill="1" applyAlignment="1" applyProtection="1">
      <alignment horizontal="left" vertical="center"/>
    </xf>
    <xf numFmtId="0" fontId="27" fillId="0" borderId="0" xfId="60" applyNumberFormat="1" applyFont="1" applyFill="1" applyAlignment="1" applyProtection="1">
      <alignment horizontal="right"/>
    </xf>
    <xf numFmtId="0" fontId="8" fillId="0" borderId="0" xfId="60" applyNumberFormat="1" applyFont="1" applyFill="1" applyAlignment="1" applyProtection="1">
      <alignment horizontal="left" vertical="center"/>
    </xf>
    <xf numFmtId="14" fontId="11" fillId="0" borderId="0" xfId="60" applyNumberFormat="1" applyFont="1" applyFill="1"/>
    <xf numFmtId="0" fontId="11" fillId="0" borderId="0" xfId="60" applyNumberFormat="1" applyFont="1" applyFill="1" applyAlignment="1" applyProtection="1">
      <alignment horizontal="right"/>
    </xf>
    <xf numFmtId="0" fontId="10" fillId="0" borderId="0" xfId="60" applyFont="1" applyAlignment="1">
      <alignment horizontal="left"/>
    </xf>
    <xf numFmtId="0" fontId="30" fillId="0" borderId="0" xfId="60" applyFont="1" applyAlignment="1">
      <alignment horizontal="left"/>
    </xf>
    <xf numFmtId="0" fontId="1" fillId="2" borderId="0" xfId="60" applyFont="1" applyFill="1" applyAlignment="1">
      <alignment horizontal="left" vertical="top"/>
    </xf>
    <xf numFmtId="0" fontId="1" fillId="0" borderId="0" xfId="60" applyFont="1" applyFill="1" applyAlignment="1">
      <alignment horizontal="left" vertical="top"/>
    </xf>
    <xf numFmtId="0" fontId="19" fillId="2" borderId="0" xfId="60" applyFont="1" applyFill="1" applyAlignment="1">
      <alignment horizontal="center" vertical="center"/>
    </xf>
    <xf numFmtId="0" fontId="21" fillId="2" borderId="0" xfId="60" applyFont="1" applyFill="1" applyAlignment="1">
      <alignment horizontal="center"/>
    </xf>
    <xf numFmtId="0" fontId="33" fillId="2" borderId="0" xfId="60" applyFont="1" applyFill="1" applyAlignment="1">
      <alignment horizontal="center"/>
    </xf>
    <xf numFmtId="0" fontId="34" fillId="0" borderId="0" xfId="0" applyFont="1" applyFill="1" applyBorder="1" applyAlignment="1"/>
    <xf numFmtId="0" fontId="35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6" fillId="0" borderId="0" xfId="0" applyFont="1" applyFill="1" applyBorder="1" applyAlignment="1"/>
    <xf numFmtId="0" fontId="11" fillId="0" borderId="0" xfId="0" applyFont="1" applyFill="1" applyBorder="1" applyAlignment="1"/>
    <xf numFmtId="0" fontId="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182" fontId="4" fillId="0" borderId="8" xfId="0" applyNumberFormat="1" applyFont="1" applyFill="1" applyBorder="1" applyAlignment="1">
      <alignment horizontal="center" vertical="center" wrapText="1"/>
    </xf>
    <xf numFmtId="0" fontId="12" fillId="0" borderId="8" xfId="63" applyFont="1" applyFill="1" applyBorder="1" applyAlignment="1">
      <alignment horizontal="left" vertical="center" wrapText="1"/>
    </xf>
    <xf numFmtId="178" fontId="12" fillId="0" borderId="8" xfId="0" applyNumberFormat="1" applyFont="1" applyFill="1" applyBorder="1" applyAlignment="1">
      <alignment horizontal="right" vertical="center" wrapText="1"/>
    </xf>
    <xf numFmtId="181" fontId="12" fillId="0" borderId="8" xfId="0" applyNumberFormat="1" applyFont="1" applyFill="1" applyBorder="1" applyAlignment="1">
      <alignment horizontal="right" vertical="center" wrapText="1"/>
    </xf>
    <xf numFmtId="182" fontId="37" fillId="0" borderId="8" xfId="0" applyNumberFormat="1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 indent="1" shrinkToFit="1"/>
    </xf>
    <xf numFmtId="178" fontId="4" fillId="0" borderId="8" xfId="0" applyNumberFormat="1" applyFont="1" applyFill="1" applyBorder="1" applyAlignment="1">
      <alignment horizontal="right" vertical="center" wrapText="1"/>
    </xf>
    <xf numFmtId="181" fontId="4" fillId="0" borderId="8" xfId="0" applyNumberFormat="1" applyFont="1" applyFill="1" applyBorder="1" applyAlignment="1">
      <alignment horizontal="right" vertical="center" wrapText="1"/>
    </xf>
    <xf numFmtId="0" fontId="34" fillId="0" borderId="8" xfId="0" applyFont="1" applyFill="1" applyBorder="1" applyAlignment="1">
      <alignment horizontal="right" vertical="center"/>
    </xf>
    <xf numFmtId="49" fontId="8" fillId="0" borderId="8" xfId="0" applyNumberFormat="1" applyFont="1" applyFill="1" applyBorder="1" applyAlignment="1">
      <alignment horizontal="left" vertical="center" wrapText="1" indent="3"/>
    </xf>
    <xf numFmtId="178" fontId="0" fillId="0" borderId="8" xfId="0" applyNumberFormat="1" applyFont="1" applyFill="1" applyBorder="1" applyAlignment="1">
      <alignment horizontal="right" vertical="center" wrapText="1"/>
    </xf>
    <xf numFmtId="181" fontId="0" fillId="0" borderId="8" xfId="0" applyNumberFormat="1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/>
    </xf>
    <xf numFmtId="49" fontId="8" fillId="0" borderId="8" xfId="0" applyNumberFormat="1" applyFont="1" applyFill="1" applyBorder="1" applyAlignment="1">
      <alignment horizontal="left" vertical="center" indent="3" shrinkToFit="1"/>
    </xf>
    <xf numFmtId="0" fontId="1" fillId="0" borderId="8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left" vertical="center" wrapText="1" shrinkToFit="1"/>
    </xf>
    <xf numFmtId="0" fontId="36" fillId="0" borderId="8" xfId="0" applyFont="1" applyFill="1" applyBorder="1" applyAlignment="1">
      <alignment horizontal="right"/>
    </xf>
    <xf numFmtId="0" fontId="8" fillId="0" borderId="8" xfId="0" applyFont="1" applyFill="1" applyBorder="1" applyAlignment="1">
      <alignment horizontal="left" vertical="center" wrapText="1" indent="3" shrinkToFit="1"/>
    </xf>
    <xf numFmtId="181" fontId="12" fillId="0" borderId="8" xfId="0" applyNumberFormat="1" applyFont="1" applyFill="1" applyBorder="1" applyAlignment="1">
      <alignment horizontal="right"/>
    </xf>
    <xf numFmtId="0" fontId="11" fillId="0" borderId="8" xfId="0" applyFont="1" applyFill="1" applyBorder="1" applyAlignment="1">
      <alignment horizontal="right"/>
    </xf>
    <xf numFmtId="0" fontId="11" fillId="0" borderId="8" xfId="0" applyFont="1" applyFill="1" applyBorder="1" applyAlignment="1"/>
    <xf numFmtId="0" fontId="6" fillId="0" borderId="25" xfId="0" applyFont="1" applyFill="1" applyBorder="1" applyAlignment="1">
      <alignment horizontal="left" vertical="center" shrinkToFit="1"/>
    </xf>
    <xf numFmtId="178" fontId="32" fillId="0" borderId="8" xfId="0" applyNumberFormat="1" applyFont="1" applyFill="1" applyBorder="1" applyAlignment="1">
      <alignment horizontal="right" vertical="center" wrapText="1"/>
    </xf>
    <xf numFmtId="0" fontId="36" fillId="0" borderId="8" xfId="0" applyFont="1" applyFill="1" applyBorder="1" applyAlignment="1"/>
    <xf numFmtId="0" fontId="1" fillId="0" borderId="26" xfId="0" applyNumberFormat="1" applyFont="1" applyFill="1" applyBorder="1" applyAlignment="1" applyProtection="1">
      <alignment horizontal="left" vertical="center"/>
    </xf>
    <xf numFmtId="0" fontId="6" fillId="0" borderId="8" xfId="0" applyFont="1" applyFill="1" applyBorder="1" applyAlignment="1">
      <alignment horizontal="center" vertical="center" wrapText="1" shrinkToFit="1"/>
    </xf>
    <xf numFmtId="178" fontId="11" fillId="0" borderId="0" xfId="0" applyNumberFormat="1" applyFont="1" applyFill="1" applyBorder="1" applyAlignment="1"/>
    <xf numFmtId="0" fontId="34" fillId="0" borderId="0" xfId="0" applyFont="1" applyFill="1"/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11" fillId="0" borderId="0" xfId="0" applyFont="1" applyFill="1"/>
    <xf numFmtId="0" fontId="1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9" fontId="4" fillId="0" borderId="8" xfId="0" applyNumberFormat="1" applyFont="1" applyFill="1" applyBorder="1" applyAlignment="1">
      <alignment horizontal="center" vertical="center" wrapText="1"/>
    </xf>
    <xf numFmtId="178" fontId="4" fillId="0" borderId="8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left" vertical="center" wrapText="1"/>
    </xf>
    <xf numFmtId="179" fontId="12" fillId="0" borderId="8" xfId="0" applyNumberFormat="1" applyFont="1" applyFill="1" applyBorder="1" applyAlignment="1">
      <alignment horizontal="right" vertical="center" wrapText="1"/>
    </xf>
    <xf numFmtId="0" fontId="0" fillId="0" borderId="8" xfId="0" applyFont="1" applyFill="1" applyBorder="1" applyAlignment="1">
      <alignment horizontal="left" vertical="center" indent="1"/>
    </xf>
    <xf numFmtId="0" fontId="0" fillId="0" borderId="8" xfId="0" applyFont="1" applyFill="1" applyBorder="1" applyAlignment="1">
      <alignment horizontal="left" vertical="center" indent="1" shrinkToFit="1"/>
    </xf>
    <xf numFmtId="0" fontId="0" fillId="0" borderId="8" xfId="0" applyFont="1" applyFill="1" applyBorder="1" applyAlignment="1">
      <alignment horizontal="left" vertical="center" wrapText="1" indent="1"/>
    </xf>
    <xf numFmtId="178" fontId="38" fillId="0" borderId="8" xfId="0" applyNumberFormat="1" applyFont="1" applyFill="1" applyBorder="1" applyAlignment="1">
      <alignment horizontal="right" vertical="center" wrapText="1"/>
    </xf>
    <xf numFmtId="0" fontId="12" fillId="0" borderId="8" xfId="0" applyFont="1" applyFill="1" applyBorder="1" applyAlignment="1">
      <alignment horizontal="center" vertical="center"/>
    </xf>
    <xf numFmtId="0" fontId="25" fillId="0" borderId="0" xfId="0" applyFont="1" applyFill="1"/>
    <xf numFmtId="0" fontId="39" fillId="0" borderId="0" xfId="0" applyFont="1" applyFill="1" applyAlignment="1">
      <alignment vertical="center"/>
    </xf>
    <xf numFmtId="0" fontId="10" fillId="0" borderId="0" xfId="0" applyFont="1" applyFill="1"/>
    <xf numFmtId="0" fontId="1" fillId="0" borderId="0" xfId="0" applyFont="1" applyFill="1"/>
    <xf numFmtId="0" fontId="36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4" fillId="0" borderId="4" xfId="63" applyFont="1" applyFill="1" applyBorder="1" applyAlignment="1">
      <alignment horizontal="center" vertical="center" wrapText="1"/>
    </xf>
    <xf numFmtId="0" fontId="4" fillId="0" borderId="5" xfId="63" applyFont="1" applyFill="1" applyBorder="1" applyAlignment="1">
      <alignment horizontal="center" vertical="center" wrapText="1"/>
    </xf>
    <xf numFmtId="179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63" applyFont="1" applyFill="1" applyBorder="1" applyAlignment="1">
      <alignment horizontal="center" vertical="center" wrapText="1"/>
    </xf>
    <xf numFmtId="0" fontId="4" fillId="0" borderId="8" xfId="63" applyFont="1" applyFill="1" applyBorder="1" applyAlignment="1">
      <alignment horizontal="center" vertical="center" wrapText="1"/>
    </xf>
    <xf numFmtId="181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12" fillId="0" borderId="7" xfId="63" applyFont="1" applyFill="1" applyBorder="1" applyAlignment="1">
      <alignment horizontal="left" vertical="center" wrapText="1"/>
    </xf>
    <xf numFmtId="178" fontId="12" fillId="0" borderId="8" xfId="63" applyNumberFormat="1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horizontal="left" vertical="center" wrapText="1" indent="1" shrinkToFit="1"/>
    </xf>
    <xf numFmtId="0" fontId="39" fillId="0" borderId="9" xfId="0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left" vertical="center" wrapText="1" indent="3"/>
    </xf>
    <xf numFmtId="178" fontId="40" fillId="0" borderId="8" xfId="0" applyNumberFormat="1" applyFont="1" applyFill="1" applyBorder="1" applyAlignment="1">
      <alignment vertical="center"/>
    </xf>
    <xf numFmtId="0" fontId="34" fillId="0" borderId="9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" fillId="0" borderId="8" xfId="0" applyFont="1" applyFill="1" applyBorder="1"/>
    <xf numFmtId="0" fontId="11" fillId="0" borderId="9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left" vertical="center" wrapText="1" shrinkToFit="1"/>
    </xf>
    <xf numFmtId="0" fontId="11" fillId="0" borderId="8" xfId="0" applyFont="1" applyFill="1" applyBorder="1" applyAlignment="1">
      <alignment horizontal="right" vertical="center" wrapText="1"/>
    </xf>
    <xf numFmtId="0" fontId="8" fillId="0" borderId="7" xfId="0" applyFont="1" applyFill="1" applyBorder="1" applyAlignment="1">
      <alignment horizontal="left" vertical="center" wrapText="1" indent="3" shrinkToFit="1"/>
    </xf>
    <xf numFmtId="0" fontId="8" fillId="0" borderId="7" xfId="0" applyFont="1" applyFill="1" applyBorder="1" applyAlignment="1">
      <alignment horizontal="center" vertical="center" wrapText="1" shrinkToFit="1"/>
    </xf>
    <xf numFmtId="178" fontId="41" fillId="0" borderId="8" xfId="0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 shrinkToFit="1"/>
    </xf>
    <xf numFmtId="0" fontId="36" fillId="0" borderId="8" xfId="0" applyFont="1" applyFill="1" applyBorder="1" applyAlignment="1">
      <alignment horizontal="right" vertical="center" wrapText="1"/>
    </xf>
    <xf numFmtId="0" fontId="36" fillId="0" borderId="9" xfId="0" applyFont="1" applyFill="1" applyBorder="1" applyAlignment="1">
      <alignment horizontal="center"/>
    </xf>
    <xf numFmtId="0" fontId="1" fillId="0" borderId="7" xfId="0" applyNumberFormat="1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>
      <alignment horizontal="center" vertical="center" wrapText="1" shrinkToFit="1"/>
    </xf>
    <xf numFmtId="178" fontId="12" fillId="0" borderId="11" xfId="0" applyNumberFormat="1" applyFont="1" applyFill="1" applyBorder="1" applyAlignment="1">
      <alignment horizontal="right" vertical="center" wrapText="1"/>
    </xf>
    <xf numFmtId="181" fontId="12" fillId="0" borderId="11" xfId="0" applyNumberFormat="1" applyFont="1" applyFill="1" applyBorder="1" applyAlignment="1">
      <alignment horizontal="right" vertical="center" wrapText="1"/>
    </xf>
    <xf numFmtId="0" fontId="36" fillId="0" borderId="12" xfId="0" applyFont="1" applyFill="1" applyBorder="1" applyAlignment="1">
      <alignment horizontal="center"/>
    </xf>
    <xf numFmtId="178" fontId="11" fillId="0" borderId="0" xfId="0" applyNumberFormat="1" applyFont="1" applyFill="1"/>
    <xf numFmtId="178" fontId="11" fillId="0" borderId="0" xfId="0" applyNumberFormat="1" applyFont="1" applyFill="1" applyAlignment="1">
      <alignment horizontal="center"/>
    </xf>
    <xf numFmtId="0" fontId="34" fillId="0" borderId="0" xfId="0" applyFont="1"/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4" fillId="0" borderId="4" xfId="0" applyFont="1" applyBorder="1" applyAlignment="1">
      <alignment horizontal="center" vertical="center" wrapText="1"/>
    </xf>
    <xf numFmtId="179" fontId="4" fillId="2" borderId="5" xfId="0" applyNumberFormat="1" applyFont="1" applyFill="1" applyBorder="1" applyAlignment="1">
      <alignment horizontal="center" vertical="center" wrapText="1"/>
    </xf>
    <xf numFmtId="179" fontId="4" fillId="2" borderId="6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79" fontId="4" fillId="2" borderId="8" xfId="0" applyNumberFormat="1" applyFont="1" applyFill="1" applyBorder="1" applyAlignment="1">
      <alignment horizontal="center" vertical="center" wrapText="1"/>
    </xf>
    <xf numFmtId="181" fontId="4" fillId="2" borderId="8" xfId="0" applyNumberFormat="1" applyFont="1" applyFill="1" applyBorder="1" applyAlignment="1">
      <alignment horizontal="center" vertical="center" wrapText="1"/>
    </xf>
    <xf numFmtId="181" fontId="4" fillId="2" borderId="9" xfId="0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/>
    </xf>
    <xf numFmtId="181" fontId="12" fillId="0" borderId="9" xfId="0" applyNumberFormat="1" applyFont="1" applyFill="1" applyBorder="1" applyAlignment="1">
      <alignment horizontal="right" vertical="center" wrapText="1"/>
    </xf>
    <xf numFmtId="0" fontId="0" fillId="0" borderId="7" xfId="0" applyFont="1" applyFill="1" applyBorder="1" applyAlignment="1">
      <alignment horizontal="left" vertical="center" indent="1"/>
    </xf>
    <xf numFmtId="178" fontId="0" fillId="2" borderId="8" xfId="0" applyNumberFormat="1" applyFont="1" applyFill="1" applyBorder="1" applyAlignment="1">
      <alignment horizontal="right" vertical="center" wrapText="1"/>
    </xf>
    <xf numFmtId="181" fontId="0" fillId="0" borderId="9" xfId="0" applyNumberFormat="1" applyFont="1" applyFill="1" applyBorder="1" applyAlignment="1">
      <alignment horizontal="right" vertical="center" wrapText="1"/>
    </xf>
    <xf numFmtId="0" fontId="12" fillId="0" borderId="7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 wrapText="1" indent="1"/>
    </xf>
    <xf numFmtId="0" fontId="0" fillId="0" borderId="8" xfId="0" applyFont="1" applyFill="1" applyBorder="1" applyAlignment="1">
      <alignment horizontal="right" vertical="center" wrapText="1"/>
    </xf>
    <xf numFmtId="0" fontId="12" fillId="0" borderId="10" xfId="0" applyFont="1" applyBorder="1" applyAlignment="1">
      <alignment horizontal="center" vertical="center"/>
    </xf>
    <xf numFmtId="181" fontId="12" fillId="0" borderId="12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left" vertical="center"/>
    </xf>
    <xf numFmtId="0" fontId="11" fillId="2" borderId="0" xfId="0" applyNumberFormat="1" applyFont="1" applyFill="1" applyAlignment="1" applyProtection="1"/>
    <xf numFmtId="0" fontId="11" fillId="0" borderId="0" xfId="0" applyNumberFormat="1" applyFont="1" applyFill="1" applyAlignment="1" applyProtection="1">
      <alignment horizontal="left" vertical="center"/>
    </xf>
    <xf numFmtId="0" fontId="11" fillId="0" borderId="0" xfId="0" applyNumberFormat="1" applyFont="1" applyFill="1" applyAlignment="1" applyProtection="1"/>
    <xf numFmtId="0" fontId="19" fillId="2" borderId="0" xfId="0" applyNumberFormat="1" applyFont="1" applyFill="1" applyAlignment="1" applyProtection="1">
      <alignment horizontal="center" vertical="center"/>
    </xf>
    <xf numFmtId="0" fontId="11" fillId="0" borderId="0" xfId="0" applyNumberFormat="1" applyFont="1" applyFill="1" applyAlignment="1" applyProtection="1">
      <alignment horizontal="center" vertical="center"/>
    </xf>
    <xf numFmtId="0" fontId="18" fillId="2" borderId="0" xfId="0" applyNumberFormat="1" applyFont="1" applyFill="1" applyAlignment="1" applyProtection="1">
      <alignment vertical="center"/>
    </xf>
    <xf numFmtId="0" fontId="0" fillId="0" borderId="0" xfId="0" applyNumberFormat="1" applyFont="1" applyFill="1" applyAlignment="1" applyProtection="1">
      <alignment horizontal="left" vertical="center"/>
    </xf>
    <xf numFmtId="0" fontId="27" fillId="0" borderId="0" xfId="0" applyNumberFormat="1" applyFont="1" applyFill="1" applyAlignment="1" applyProtection="1">
      <alignment horizontal="right"/>
    </xf>
    <xf numFmtId="0" fontId="8" fillId="0" borderId="0" xfId="0" applyNumberFormat="1" applyFont="1" applyFill="1" applyAlignment="1" applyProtection="1">
      <alignment horizontal="left" vertical="center"/>
    </xf>
    <xf numFmtId="14" fontId="11" fillId="0" borderId="0" xfId="0" applyNumberFormat="1" applyFont="1" applyFill="1"/>
    <xf numFmtId="0" fontId="11" fillId="0" borderId="0" xfId="0" applyNumberFormat="1" applyFont="1" applyFill="1" applyAlignment="1" applyProtection="1">
      <alignment horizontal="right"/>
    </xf>
    <xf numFmtId="0" fontId="10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0" fillId="0" borderId="0" xfId="0" applyFont="1"/>
    <xf numFmtId="0" fontId="20" fillId="0" borderId="0" xfId="0" applyFont="1" applyFill="1"/>
    <xf numFmtId="0" fontId="22" fillId="0" borderId="0" xfId="0" applyFont="1" applyAlignment="1">
      <alignment vertical="top"/>
    </xf>
    <xf numFmtId="0" fontId="22" fillId="0" borderId="0" xfId="0" applyFont="1" applyFill="1" applyAlignment="1">
      <alignment vertical="top"/>
    </xf>
    <xf numFmtId="0" fontId="23" fillId="0" borderId="0" xfId="0" applyFont="1" applyFill="1" applyAlignment="1">
      <alignment vertical="top"/>
    </xf>
    <xf numFmtId="0" fontId="23" fillId="0" borderId="0" xfId="0" applyFont="1" applyAlignment="1">
      <alignment vertical="top"/>
    </xf>
    <xf numFmtId="0" fontId="22" fillId="0" borderId="0" xfId="0" applyFont="1" applyAlignment="1">
      <alignment horizontal="center" vertical="top"/>
    </xf>
    <xf numFmtId="0" fontId="11" fillId="0" borderId="0" xfId="0" applyFont="1" applyFill="1" applyAlignment="1">
      <alignment horizontal="center" vertical="top"/>
    </xf>
    <xf numFmtId="0" fontId="24" fillId="0" borderId="0" xfId="0" applyFont="1" applyFill="1"/>
    <xf numFmtId="0" fontId="23" fillId="0" borderId="0" xfId="0" applyFont="1" applyAlignment="1"/>
    <xf numFmtId="0" fontId="23" fillId="0" borderId="0" xfId="0" applyFont="1" applyFill="1" applyAlignment="1"/>
    <xf numFmtId="0" fontId="42" fillId="0" borderId="0" xfId="0" applyFont="1" applyAlignment="1"/>
    <xf numFmtId="0" fontId="35" fillId="0" borderId="0" xfId="0" applyNumberFormat="1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34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39" fillId="0" borderId="27" xfId="0" applyFont="1" applyFill="1" applyBorder="1" applyAlignment="1">
      <alignment horizontal="center" vertical="center" wrapText="1"/>
    </xf>
    <xf numFmtId="0" fontId="39" fillId="0" borderId="8" xfId="0" applyFont="1" applyFill="1" applyBorder="1" applyAlignment="1">
      <alignment horizontal="center" vertical="center" wrapText="1"/>
    </xf>
    <xf numFmtId="0" fontId="39" fillId="0" borderId="8" xfId="0" applyNumberFormat="1" applyFont="1" applyFill="1" applyBorder="1" applyAlignment="1">
      <alignment horizontal="center" vertical="center" wrapText="1"/>
    </xf>
    <xf numFmtId="0" fontId="39" fillId="0" borderId="8" xfId="0" applyFont="1" applyFill="1" applyBorder="1" applyAlignment="1">
      <alignment horizontal="center" vertical="center"/>
    </xf>
    <xf numFmtId="0" fontId="39" fillId="0" borderId="28" xfId="0" applyFont="1" applyFill="1" applyBorder="1" applyAlignment="1">
      <alignment horizontal="center" vertical="center" wrapText="1"/>
    </xf>
    <xf numFmtId="179" fontId="39" fillId="0" borderId="8" xfId="0" applyNumberFormat="1" applyFont="1" applyFill="1" applyBorder="1" applyAlignment="1">
      <alignment horizontal="center" vertical="center" wrapText="1"/>
    </xf>
    <xf numFmtId="179" fontId="10" fillId="0" borderId="8" xfId="0" applyNumberFormat="1" applyFont="1" applyFill="1" applyBorder="1" applyAlignment="1">
      <alignment horizontal="center" vertical="center" wrapText="1"/>
    </xf>
    <xf numFmtId="0" fontId="45" fillId="0" borderId="29" xfId="0" applyNumberFormat="1" applyFont="1" applyFill="1" applyBorder="1" applyAlignment="1">
      <alignment horizontal="center" vertical="center" wrapText="1"/>
    </xf>
    <xf numFmtId="0" fontId="45" fillId="0" borderId="30" xfId="0" applyNumberFormat="1" applyFont="1" applyFill="1" applyBorder="1" applyAlignment="1">
      <alignment horizontal="center" vertical="center" wrapText="1"/>
    </xf>
    <xf numFmtId="0" fontId="45" fillId="0" borderId="31" xfId="0" applyNumberFormat="1" applyFont="1" applyFill="1" applyBorder="1" applyAlignment="1">
      <alignment horizontal="center" vertical="center" wrapText="1"/>
    </xf>
    <xf numFmtId="178" fontId="45" fillId="0" borderId="8" xfId="0" applyNumberFormat="1" applyFont="1" applyFill="1" applyBorder="1" applyAlignment="1">
      <alignment horizontal="right" vertical="center" wrapText="1"/>
    </xf>
    <xf numFmtId="0" fontId="46" fillId="0" borderId="8" xfId="0" applyFont="1" applyFill="1" applyBorder="1" applyAlignment="1" applyProtection="1">
      <alignment vertical="center"/>
    </xf>
    <xf numFmtId="0" fontId="43" fillId="0" borderId="8" xfId="0" applyFont="1" applyFill="1" applyBorder="1" applyAlignment="1" applyProtection="1">
      <alignment vertical="center" wrapText="1"/>
    </xf>
    <xf numFmtId="0" fontId="46" fillId="0" borderId="8" xfId="0" applyFont="1" applyFill="1" applyBorder="1" applyAlignment="1" applyProtection="1">
      <alignment vertical="center" wrapText="1"/>
    </xf>
    <xf numFmtId="0" fontId="46" fillId="0" borderId="8" xfId="0" applyFont="1" applyFill="1" applyBorder="1" applyAlignment="1" applyProtection="1">
      <alignment horizontal="left" vertical="center"/>
    </xf>
    <xf numFmtId="0" fontId="43" fillId="0" borderId="29" xfId="0" applyFont="1" applyFill="1" applyBorder="1" applyAlignment="1" applyProtection="1">
      <alignment vertical="center" wrapText="1"/>
    </xf>
    <xf numFmtId="0" fontId="34" fillId="0" borderId="32" xfId="0" applyFont="1" applyBorder="1" applyAlignment="1">
      <alignment horizontal="left" vertical="center"/>
    </xf>
    <xf numFmtId="178" fontId="43" fillId="0" borderId="8" xfId="0" applyNumberFormat="1" applyFont="1" applyFill="1" applyBorder="1" applyAlignment="1">
      <alignment horizontal="right" vertical="center" wrapText="1"/>
    </xf>
    <xf numFmtId="179" fontId="34" fillId="0" borderId="8" xfId="0" applyNumberFormat="1" applyFont="1" applyFill="1" applyBorder="1" applyAlignment="1">
      <alignment horizontal="right" vertical="center" wrapText="1"/>
    </xf>
    <xf numFmtId="0" fontId="34" fillId="0" borderId="32" xfId="0" applyFont="1" applyBorder="1" applyAlignment="1">
      <alignment horizontal="left" vertical="center" shrinkToFit="1"/>
    </xf>
    <xf numFmtId="0" fontId="34" fillId="0" borderId="29" xfId="0" applyFont="1" applyBorder="1" applyAlignment="1">
      <alignment horizontal="left" vertical="center"/>
    </xf>
    <xf numFmtId="178" fontId="34" fillId="0" borderId="0" xfId="0" applyNumberFormat="1" applyFont="1" applyFill="1" applyAlignment="1">
      <alignment vertical="center"/>
    </xf>
    <xf numFmtId="0" fontId="34" fillId="0" borderId="24" xfId="0" applyFont="1" applyFill="1" applyBorder="1" applyAlignment="1">
      <alignment horizontal="right" vertical="center"/>
    </xf>
    <xf numFmtId="0" fontId="45" fillId="0" borderId="8" xfId="0" applyNumberFormat="1" applyFont="1" applyFill="1" applyBorder="1" applyAlignment="1">
      <alignment horizontal="right" vertical="center" wrapText="1"/>
    </xf>
    <xf numFmtId="178" fontId="35" fillId="0" borderId="8" xfId="0" applyNumberFormat="1" applyFont="1" applyFill="1" applyBorder="1" applyAlignment="1">
      <alignment horizontal="right" vertical="center" wrapText="1"/>
    </xf>
    <xf numFmtId="0" fontId="43" fillId="0" borderId="8" xfId="0" applyFont="1" applyFill="1" applyBorder="1" applyAlignment="1">
      <alignment horizontal="right" vertical="center"/>
    </xf>
    <xf numFmtId="0" fontId="36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vertical="center" wrapText="1"/>
    </xf>
    <xf numFmtId="0" fontId="48" fillId="0" borderId="0" xfId="0" applyFont="1" applyFill="1" applyAlignment="1">
      <alignment vertical="center"/>
    </xf>
    <xf numFmtId="0" fontId="28" fillId="0" borderId="0" xfId="0" applyFont="1" applyFill="1" applyAlignment="1">
      <alignment vertical="center" wrapText="1"/>
    </xf>
    <xf numFmtId="49" fontId="39" fillId="0" borderId="8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horizontal="center" vertical="center" wrapText="1"/>
    </xf>
    <xf numFmtId="0" fontId="45" fillId="0" borderId="8" xfId="0" applyFont="1" applyFill="1" applyBorder="1" applyAlignment="1">
      <alignment horizontal="center" vertical="center" wrapText="1"/>
    </xf>
    <xf numFmtId="178" fontId="46" fillId="0" borderId="8" xfId="0" applyNumberFormat="1" applyFont="1" applyFill="1" applyBorder="1" applyAlignment="1">
      <alignment horizontal="right" vertical="center"/>
    </xf>
    <xf numFmtId="178" fontId="45" fillId="0" borderId="8" xfId="0" applyNumberFormat="1" applyFont="1" applyFill="1" applyBorder="1" applyAlignment="1">
      <alignment horizontal="center" vertical="center" wrapText="1"/>
    </xf>
    <xf numFmtId="178" fontId="46" fillId="0" borderId="8" xfId="0" applyNumberFormat="1" applyFont="1" applyFill="1" applyBorder="1" applyAlignment="1" applyProtection="1">
      <alignment horizontal="right" vertical="center"/>
    </xf>
    <xf numFmtId="0" fontId="43" fillId="0" borderId="8" xfId="0" applyFont="1" applyFill="1" applyBorder="1" applyAlignment="1">
      <alignment horizontal="right" vertical="center" wrapText="1"/>
    </xf>
    <xf numFmtId="0" fontId="46" fillId="0" borderId="8" xfId="0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0" fontId="46" fillId="0" borderId="8" xfId="0" applyFont="1" applyFill="1" applyBorder="1" applyAlignment="1" applyProtection="1">
      <alignment horizontal="left" vertical="center" wrapText="1"/>
    </xf>
    <xf numFmtId="0" fontId="46" fillId="0" borderId="8" xfId="0" applyFont="1" applyFill="1" applyBorder="1" applyAlignment="1" applyProtection="1">
      <alignment horizontal="center" vertical="center"/>
    </xf>
    <xf numFmtId="0" fontId="34" fillId="0" borderId="8" xfId="0" applyFont="1" applyBorder="1" applyAlignment="1">
      <alignment horizontal="left" vertical="center"/>
    </xf>
    <xf numFmtId="178" fontId="43" fillId="0" borderId="8" xfId="0" applyNumberFormat="1" applyFont="1" applyFill="1" applyBorder="1" applyAlignment="1">
      <alignment horizontal="right" vertical="center"/>
    </xf>
    <xf numFmtId="178" fontId="0" fillId="0" borderId="8" xfId="0" applyNumberFormat="1" applyBorder="1" applyAlignment="1">
      <alignment vertical="center"/>
    </xf>
    <xf numFmtId="0" fontId="34" fillId="0" borderId="8" xfId="0" applyFont="1" applyBorder="1" applyAlignment="1">
      <alignment horizontal="left" vertical="center" shrinkToFit="1"/>
    </xf>
    <xf numFmtId="0" fontId="50" fillId="0" borderId="0" xfId="0" applyFont="1" applyFill="1" applyAlignment="1">
      <alignment vertical="center"/>
    </xf>
    <xf numFmtId="0" fontId="51" fillId="0" borderId="0" xfId="59" applyFont="1" applyFill="1">
      <alignment vertical="center"/>
    </xf>
    <xf numFmtId="0" fontId="52" fillId="0" borderId="0" xfId="59" applyFont="1" applyFill="1">
      <alignment vertical="center"/>
    </xf>
    <xf numFmtId="0" fontId="53" fillId="0" borderId="0" xfId="59" applyFont="1" applyFill="1">
      <alignment vertical="center"/>
    </xf>
    <xf numFmtId="0" fontId="54" fillId="0" borderId="0" xfId="59" applyFont="1" applyFill="1">
      <alignment vertical="center"/>
    </xf>
    <xf numFmtId="178" fontId="54" fillId="0" borderId="0" xfId="59" applyNumberFormat="1" applyFont="1" applyFill="1" applyAlignment="1">
      <alignment horizontal="center" vertical="center"/>
    </xf>
    <xf numFmtId="181" fontId="54" fillId="0" borderId="0" xfId="59" applyNumberFormat="1" applyFont="1" applyFill="1">
      <alignment vertical="center"/>
    </xf>
    <xf numFmtId="0" fontId="8" fillId="0" borderId="0" xfId="59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54" fillId="0" borderId="0" xfId="59" applyFont="1" applyFill="1" applyAlignment="1">
      <alignment horizontal="left" vertical="center" wrapText="1"/>
    </xf>
    <xf numFmtId="181" fontId="8" fillId="0" borderId="0" xfId="59" applyNumberFormat="1" applyFont="1" applyFill="1" applyAlignment="1">
      <alignment horizontal="right" vertical="center"/>
    </xf>
    <xf numFmtId="0" fontId="5" fillId="0" borderId="8" xfId="59" applyFont="1" applyFill="1" applyBorder="1" applyAlignment="1">
      <alignment horizontal="center" vertical="center" wrapText="1"/>
    </xf>
    <xf numFmtId="178" fontId="4" fillId="0" borderId="31" xfId="54" applyNumberFormat="1" applyFont="1" applyFill="1" applyBorder="1" applyAlignment="1">
      <alignment horizontal="center" vertical="center" wrapText="1"/>
    </xf>
    <xf numFmtId="0" fontId="4" fillId="0" borderId="31" xfId="59" applyFont="1" applyFill="1" applyBorder="1" applyAlignment="1">
      <alignment horizontal="center" vertical="center" wrapText="1"/>
    </xf>
    <xf numFmtId="181" fontId="4" fillId="0" borderId="31" xfId="59" applyNumberFormat="1" applyFont="1" applyFill="1" applyBorder="1" applyAlignment="1">
      <alignment horizontal="center" vertical="center" wrapText="1"/>
    </xf>
    <xf numFmtId="49" fontId="6" fillId="0" borderId="28" xfId="52" applyNumberFormat="1" applyFont="1" applyFill="1" applyBorder="1" applyAlignment="1">
      <alignment horizontal="left" vertical="center" wrapText="1"/>
    </xf>
    <xf numFmtId="178" fontId="6" fillId="0" borderId="33" xfId="59" applyNumberFormat="1" applyFont="1" applyFill="1" applyBorder="1" applyAlignment="1">
      <alignment horizontal="right" vertical="center" wrapText="1"/>
    </xf>
    <xf numFmtId="179" fontId="6" fillId="0" borderId="33" xfId="59" applyNumberFormat="1" applyFont="1" applyFill="1" applyBorder="1" applyAlignment="1">
      <alignment horizontal="right" vertical="center" wrapText="1"/>
    </xf>
    <xf numFmtId="181" fontId="12" fillId="0" borderId="33" xfId="59" applyNumberFormat="1" applyFont="1" applyFill="1" applyBorder="1" applyAlignment="1">
      <alignment horizontal="right" vertical="center" wrapText="1"/>
    </xf>
    <xf numFmtId="49" fontId="8" fillId="0" borderId="28" xfId="52" applyNumberFormat="1" applyFont="1" applyFill="1" applyBorder="1" applyAlignment="1">
      <alignment horizontal="left" vertical="center" wrapText="1" indent="1"/>
    </xf>
    <xf numFmtId="0" fontId="8" fillId="0" borderId="33" xfId="59" applyFont="1" applyFill="1" applyBorder="1" applyAlignment="1">
      <alignment horizontal="right" vertical="center" wrapText="1"/>
    </xf>
    <xf numFmtId="179" fontId="8" fillId="0" borderId="33" xfId="59" applyNumberFormat="1" applyFont="1" applyFill="1" applyBorder="1" applyAlignment="1">
      <alignment horizontal="right" vertical="center" wrapText="1"/>
    </xf>
    <xf numFmtId="181" fontId="0" fillId="0" borderId="33" xfId="59" applyNumberFormat="1" applyFont="1" applyFill="1" applyBorder="1" applyAlignment="1">
      <alignment horizontal="right" vertical="center" wrapText="1"/>
    </xf>
    <xf numFmtId="178" fontId="8" fillId="0" borderId="33" xfId="59" applyNumberFormat="1" applyFont="1" applyFill="1" applyBorder="1" applyAlignment="1">
      <alignment horizontal="right" vertical="center" wrapText="1"/>
    </xf>
    <xf numFmtId="0" fontId="6" fillId="0" borderId="28" xfId="59" applyFont="1" applyFill="1" applyBorder="1" applyAlignment="1">
      <alignment horizontal="center" vertical="center" wrapText="1"/>
    </xf>
    <xf numFmtId="178" fontId="12" fillId="0" borderId="33" xfId="54" applyNumberFormat="1" applyFont="1" applyFill="1" applyBorder="1" applyAlignment="1">
      <alignment horizontal="right" vertical="center" wrapText="1"/>
    </xf>
    <xf numFmtId="179" fontId="12" fillId="0" borderId="33" xfId="54" applyNumberFormat="1" applyFont="1" applyFill="1" applyBorder="1" applyAlignment="1">
      <alignment horizontal="right" vertical="center" wrapText="1"/>
    </xf>
    <xf numFmtId="181" fontId="4" fillId="0" borderId="33" xfId="59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0" fontId="54" fillId="0" borderId="0" xfId="0" applyFont="1" applyFill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/>
    </xf>
    <xf numFmtId="0" fontId="55" fillId="0" borderId="8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0" fontId="12" fillId="0" borderId="8" xfId="0" applyFont="1" applyFill="1" applyBorder="1" applyAlignment="1">
      <alignment horizontal="right" vertical="center"/>
    </xf>
    <xf numFmtId="0" fontId="56" fillId="0" borderId="0" xfId="0" applyFont="1" applyFill="1"/>
    <xf numFmtId="0" fontId="4" fillId="0" borderId="0" xfId="0" applyFont="1" applyFill="1"/>
    <xf numFmtId="0" fontId="30" fillId="0" borderId="0" xfId="0" applyFont="1" applyFill="1"/>
    <xf numFmtId="0" fontId="11" fillId="0" borderId="0" xfId="0" applyFont="1" applyFill="1" applyAlignment="1">
      <alignment horizontal="left" shrinkToFit="1"/>
    </xf>
    <xf numFmtId="181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shrinkToFit="1"/>
    </xf>
    <xf numFmtId="178" fontId="11" fillId="0" borderId="0" xfId="0" applyNumberFormat="1" applyFont="1" applyFill="1" applyAlignment="1">
      <alignment horizontal="left" vertical="center" wrapText="1"/>
    </xf>
    <xf numFmtId="181" fontId="48" fillId="0" borderId="0" xfId="0" applyNumberFormat="1" applyFont="1" applyFill="1" applyAlignment="1">
      <alignment vertical="center"/>
    </xf>
    <xf numFmtId="0" fontId="48" fillId="0" borderId="0" xfId="0" applyFont="1" applyAlignment="1">
      <alignment vertical="center"/>
    </xf>
    <xf numFmtId="0" fontId="21" fillId="0" borderId="0" xfId="63" applyFont="1" applyFill="1" applyAlignment="1">
      <alignment horizontal="center" vertical="center" shrinkToFit="1"/>
    </xf>
    <xf numFmtId="178" fontId="21" fillId="0" borderId="0" xfId="63" applyNumberFormat="1" applyFont="1" applyFill="1" applyAlignment="1">
      <alignment horizontal="center" vertical="center" shrinkToFit="1"/>
    </xf>
    <xf numFmtId="0" fontId="21" fillId="3" borderId="0" xfId="63" applyFont="1" applyFill="1" applyAlignment="1">
      <alignment horizontal="center" vertical="center" shrinkToFit="1"/>
    </xf>
    <xf numFmtId="0" fontId="57" fillId="0" borderId="0" xfId="63" applyFont="1" applyFill="1" applyAlignment="1">
      <alignment horizontal="center" vertical="center" shrinkToFit="1"/>
    </xf>
    <xf numFmtId="0" fontId="57" fillId="0" borderId="0" xfId="63" applyFont="1" applyFill="1" applyAlignment="1">
      <alignment horizontal="center" vertical="center"/>
    </xf>
    <xf numFmtId="178" fontId="57" fillId="0" borderId="0" xfId="63" applyNumberFormat="1" applyFont="1" applyFill="1" applyAlignment="1">
      <alignment horizontal="center" vertical="center"/>
    </xf>
    <xf numFmtId="0" fontId="5" fillId="2" borderId="8" xfId="0" applyFont="1" applyFill="1" applyBorder="1" applyAlignment="1">
      <alignment horizontal="center" vertical="center" shrinkToFit="1"/>
    </xf>
    <xf numFmtId="180" fontId="5" fillId="0" borderId="8" xfId="0" applyNumberFormat="1" applyFont="1" applyFill="1" applyBorder="1" applyAlignment="1">
      <alignment horizontal="center" vertical="center" wrapText="1"/>
    </xf>
    <xf numFmtId="178" fontId="5" fillId="0" borderId="8" xfId="0" applyNumberFormat="1" applyFont="1" applyFill="1" applyBorder="1" applyAlignment="1">
      <alignment horizontal="center" vertical="center" wrapText="1"/>
    </xf>
    <xf numFmtId="181" fontId="4" fillId="0" borderId="8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vertical="center" shrinkToFit="1"/>
    </xf>
    <xf numFmtId="178" fontId="12" fillId="0" borderId="8" xfId="0" applyNumberFormat="1" applyFont="1" applyFill="1" applyBorder="1" applyAlignment="1">
      <alignment horizontal="right" vertical="center"/>
    </xf>
    <xf numFmtId="181" fontId="12" fillId="0" borderId="8" xfId="0" applyNumberFormat="1" applyFont="1" applyFill="1" applyBorder="1" applyAlignment="1">
      <alignment horizontal="right" vertical="center"/>
    </xf>
    <xf numFmtId="0" fontId="58" fillId="0" borderId="8" xfId="0" applyNumberFormat="1" applyFont="1" applyFill="1" applyBorder="1" applyAlignment="1">
      <alignment horizontal="left" vertical="top" wrapText="1"/>
    </xf>
    <xf numFmtId="49" fontId="5" fillId="2" borderId="8" xfId="0" applyNumberFormat="1" applyFont="1" applyFill="1" applyBorder="1" applyAlignment="1">
      <alignment horizontal="left" vertical="center" indent="1" shrinkToFit="1"/>
    </xf>
    <xf numFmtId="0" fontId="4" fillId="0" borderId="8" xfId="0" applyFont="1" applyFill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 vertical="center"/>
    </xf>
    <xf numFmtId="181" fontId="1" fillId="0" borderId="8" xfId="0" applyNumberFormat="1" applyFont="1" applyFill="1" applyBorder="1" applyAlignment="1">
      <alignment horizontal="right" vertical="center"/>
    </xf>
    <xf numFmtId="179" fontId="4" fillId="0" borderId="8" xfId="0" applyNumberFormat="1" applyFont="1" applyFill="1" applyBorder="1" applyAlignment="1">
      <alignment horizontal="right" vertical="center"/>
    </xf>
    <xf numFmtId="0" fontId="55" fillId="2" borderId="8" xfId="0" applyFont="1" applyFill="1" applyBorder="1" applyAlignment="1">
      <alignment vertical="center" wrapText="1"/>
    </xf>
    <xf numFmtId="49" fontId="8" fillId="2" borderId="8" xfId="0" applyNumberFormat="1" applyFont="1" applyFill="1" applyBorder="1" applyAlignment="1">
      <alignment horizontal="left" vertical="center" indent="2" shrinkToFit="1"/>
    </xf>
    <xf numFmtId="0" fontId="0" fillId="0" borderId="8" xfId="0" applyNumberFormat="1" applyFont="1" applyFill="1" applyBorder="1" applyAlignment="1">
      <alignment horizontal="right" vertical="center"/>
    </xf>
    <xf numFmtId="178" fontId="0" fillId="0" borderId="8" xfId="0" applyNumberFormat="1" applyFont="1" applyFill="1" applyBorder="1" applyAlignment="1">
      <alignment horizontal="right" vertical="center"/>
    </xf>
    <xf numFmtId="179" fontId="1" fillId="0" borderId="8" xfId="0" applyNumberFormat="1" applyFont="1" applyFill="1" applyBorder="1" applyAlignment="1">
      <alignment horizontal="right" vertical="center"/>
    </xf>
    <xf numFmtId="179" fontId="0" fillId="0" borderId="8" xfId="0" applyNumberFormat="1" applyFont="1" applyFill="1" applyBorder="1" applyAlignment="1">
      <alignment horizontal="right" vertical="center"/>
    </xf>
    <xf numFmtId="178" fontId="56" fillId="0" borderId="0" xfId="0" applyNumberFormat="1" applyFont="1" applyFill="1"/>
    <xf numFmtId="178" fontId="4" fillId="0" borderId="0" xfId="0" applyNumberFormat="1" applyFont="1" applyFill="1"/>
    <xf numFmtId="0" fontId="0" fillId="2" borderId="8" xfId="0" applyFont="1" applyFill="1" applyBorder="1" applyAlignment="1">
      <alignment horizontal="left" vertical="center" indent="2" shrinkToFit="1"/>
    </xf>
    <xf numFmtId="179" fontId="12" fillId="0" borderId="8" xfId="0" applyNumberFormat="1" applyFont="1" applyFill="1" applyBorder="1" applyAlignment="1">
      <alignment horizontal="right" vertical="center"/>
    </xf>
    <xf numFmtId="49" fontId="5" fillId="0" borderId="8" xfId="0" applyNumberFormat="1" applyFont="1" applyFill="1" applyBorder="1" applyAlignment="1">
      <alignment horizontal="left" vertical="center" indent="1" shrinkToFit="1"/>
    </xf>
    <xf numFmtId="0" fontId="59" fillId="0" borderId="8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8" fillId="0" borderId="8" xfId="0" applyNumberFormat="1" applyFont="1" applyFill="1" applyBorder="1" applyAlignment="1">
      <alignment horizontal="left" vertical="center" indent="2" shrinkToFit="1"/>
    </xf>
    <xf numFmtId="49" fontId="8" fillId="2" borderId="8" xfId="0" applyNumberFormat="1" applyFont="1" applyFill="1" applyBorder="1" applyAlignment="1">
      <alignment horizontal="left" vertical="center" wrapText="1" indent="2"/>
    </xf>
    <xf numFmtId="181" fontId="10" fillId="0" borderId="8" xfId="0" applyNumberFormat="1" applyFont="1" applyFill="1" applyBorder="1" applyAlignment="1">
      <alignment horizontal="right" vertical="center"/>
    </xf>
    <xf numFmtId="0" fontId="60" fillId="2" borderId="8" xfId="0" applyFont="1" applyFill="1" applyBorder="1" applyAlignment="1">
      <alignment vertical="center" wrapText="1"/>
    </xf>
    <xf numFmtId="0" fontId="58" fillId="0" borderId="8" xfId="0" applyNumberFormat="1" applyFont="1" applyFill="1" applyBorder="1" applyAlignment="1">
      <alignment horizontal="left" vertical="center" wrapText="1"/>
    </xf>
    <xf numFmtId="0" fontId="0" fillId="4" borderId="8" xfId="0" applyFont="1" applyFill="1" applyBorder="1" applyAlignment="1">
      <alignment horizontal="center" vertical="center"/>
    </xf>
    <xf numFmtId="178" fontId="36" fillId="0" borderId="0" xfId="0" applyNumberFormat="1" applyFont="1" applyFill="1"/>
    <xf numFmtId="0" fontId="0" fillId="5" borderId="8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right" vertical="center" indent="1" shrinkToFit="1"/>
    </xf>
    <xf numFmtId="0" fontId="11" fillId="6" borderId="0" xfId="0" applyFont="1" applyFill="1"/>
    <xf numFmtId="49" fontId="61" fillId="2" borderId="8" xfId="0" applyNumberFormat="1" applyFont="1" applyFill="1" applyBorder="1" applyAlignment="1">
      <alignment horizontal="left" vertical="center" indent="1" shrinkToFit="1"/>
    </xf>
    <xf numFmtId="0" fontId="4" fillId="0" borderId="8" xfId="0" applyNumberFormat="1" applyFont="1" applyFill="1" applyBorder="1" applyAlignment="1">
      <alignment horizontal="right" vertical="center"/>
    </xf>
    <xf numFmtId="179" fontId="10" fillId="0" borderId="8" xfId="0" applyNumberFormat="1" applyFont="1" applyFill="1" applyBorder="1" applyAlignment="1">
      <alignment horizontal="right" vertical="center"/>
    </xf>
    <xf numFmtId="179" fontId="50" fillId="0" borderId="8" xfId="0" applyNumberFormat="1" applyFont="1" applyFill="1" applyBorder="1" applyAlignment="1">
      <alignment horizontal="right" vertical="center"/>
    </xf>
    <xf numFmtId="0" fontId="12" fillId="0" borderId="8" xfId="0" applyNumberFormat="1" applyFont="1" applyFill="1" applyBorder="1" applyAlignment="1">
      <alignment horizontal="right" vertical="center"/>
    </xf>
    <xf numFmtId="0" fontId="45" fillId="0" borderId="8" xfId="56" applyNumberFormat="1" applyFont="1" applyFill="1" applyBorder="1" applyAlignment="1" applyProtection="1">
      <alignment horizontal="left" vertical="center" wrapText="1"/>
      <protection locked="0"/>
    </xf>
    <xf numFmtId="181" fontId="36" fillId="0" borderId="8" xfId="0" applyNumberFormat="1" applyFont="1" applyFill="1" applyBorder="1" applyAlignment="1">
      <alignment horizontal="right" vertical="center"/>
    </xf>
    <xf numFmtId="49" fontId="6" fillId="2" borderId="8" xfId="0" applyNumberFormat="1" applyFont="1" applyFill="1" applyBorder="1" applyAlignment="1">
      <alignment horizontal="center" vertical="center" shrinkToFit="1"/>
    </xf>
    <xf numFmtId="178" fontId="30" fillId="0" borderId="0" xfId="0" applyNumberFormat="1" applyFont="1" applyFill="1"/>
    <xf numFmtId="181" fontId="11" fillId="0" borderId="0" xfId="0" applyNumberFormat="1" applyFont="1" applyFill="1"/>
    <xf numFmtId="0" fontId="0" fillId="0" borderId="0" xfId="0" applyFont="1" applyFill="1"/>
    <xf numFmtId="0" fontId="21" fillId="0" borderId="0" xfId="0" applyFont="1" applyFill="1" applyAlignment="1">
      <alignment horizontal="center"/>
    </xf>
    <xf numFmtId="183" fontId="27" fillId="0" borderId="0" xfId="0" applyNumberFormat="1" applyFont="1" applyFill="1" applyAlignment="1">
      <alignment horizontal="right" vertical="center"/>
    </xf>
    <xf numFmtId="0" fontId="4" fillId="0" borderId="34" xfId="0" applyFont="1" applyFill="1" applyBorder="1" applyAlignment="1">
      <alignment horizontal="center" vertical="center" wrapText="1"/>
    </xf>
    <xf numFmtId="179" fontId="4" fillId="0" borderId="35" xfId="0" applyNumberFormat="1" applyFont="1" applyFill="1" applyBorder="1" applyAlignment="1">
      <alignment horizontal="center" vertical="center" wrapText="1"/>
    </xf>
    <xf numFmtId="179" fontId="4" fillId="0" borderId="36" xfId="0" applyNumberFormat="1" applyFont="1" applyFill="1" applyBorder="1" applyAlignment="1">
      <alignment horizontal="center" vertical="center" wrapText="1"/>
    </xf>
    <xf numFmtId="178" fontId="4" fillId="0" borderId="4" xfId="0" applyNumberFormat="1" applyFont="1" applyFill="1" applyBorder="1" applyAlignment="1">
      <alignment horizontal="center" vertical="center" wrapText="1"/>
    </xf>
    <xf numFmtId="178" fontId="4" fillId="0" borderId="6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179" fontId="4" fillId="0" borderId="38" xfId="0" applyNumberFormat="1" applyFont="1" applyFill="1" applyBorder="1" applyAlignment="1">
      <alignment horizontal="center" vertical="center" wrapText="1"/>
    </xf>
    <xf numFmtId="179" fontId="4" fillId="0" borderId="11" xfId="0" applyNumberFormat="1" applyFont="1" applyFill="1" applyBorder="1" applyAlignment="1">
      <alignment horizontal="center" vertical="center" wrapText="1"/>
    </xf>
    <xf numFmtId="179" fontId="4" fillId="0" borderId="39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181" fontId="4" fillId="0" borderId="12" xfId="0" applyNumberFormat="1" applyFont="1" applyFill="1" applyBorder="1" applyAlignment="1">
      <alignment horizontal="center" vertical="center" wrapText="1"/>
    </xf>
    <xf numFmtId="0" fontId="12" fillId="0" borderId="40" xfId="0" applyFont="1" applyBorder="1" applyAlignment="1">
      <alignment vertical="center" wrapText="1"/>
    </xf>
    <xf numFmtId="178" fontId="12" fillId="0" borderId="33" xfId="0" applyNumberFormat="1" applyFont="1" applyFill="1" applyBorder="1" applyAlignment="1">
      <alignment horizontal="right" vertical="center"/>
    </xf>
    <xf numFmtId="178" fontId="12" fillId="0" borderId="28" xfId="0" applyNumberFormat="1" applyFont="1" applyFill="1" applyBorder="1" applyAlignment="1">
      <alignment horizontal="right" vertical="center"/>
    </xf>
    <xf numFmtId="178" fontId="12" fillId="0" borderId="41" xfId="0" applyNumberFormat="1" applyFont="1" applyFill="1" applyBorder="1" applyAlignment="1">
      <alignment horizontal="right" vertical="center"/>
    </xf>
    <xf numFmtId="178" fontId="12" fillId="0" borderId="4" xfId="0" applyNumberFormat="1" applyFont="1" applyFill="1" applyBorder="1" applyAlignment="1">
      <alignment horizontal="right" vertical="center"/>
    </xf>
    <xf numFmtId="181" fontId="12" fillId="0" borderId="6" xfId="0" applyNumberFormat="1" applyFont="1" applyFill="1" applyBorder="1" applyAlignment="1">
      <alignment horizontal="right" vertical="center"/>
    </xf>
    <xf numFmtId="0" fontId="4" fillId="0" borderId="42" xfId="0" applyFont="1" applyBorder="1" applyAlignment="1">
      <alignment horizontal="left" vertical="center" indent="1"/>
    </xf>
    <xf numFmtId="178" fontId="4" fillId="0" borderId="31" xfId="0" applyNumberFormat="1" applyFont="1" applyFill="1" applyBorder="1" applyAlignment="1">
      <alignment horizontal="right" vertical="center"/>
    </xf>
    <xf numFmtId="178" fontId="62" fillId="0" borderId="7" xfId="0" applyNumberFormat="1" applyFont="1" applyFill="1" applyBorder="1" applyAlignment="1">
      <alignment horizontal="right" vertical="center"/>
    </xf>
    <xf numFmtId="178" fontId="4" fillId="0" borderId="7" xfId="0" applyNumberFormat="1" applyFont="1" applyFill="1" applyBorder="1" applyAlignment="1">
      <alignment horizontal="right" vertical="center"/>
    </xf>
    <xf numFmtId="181" fontId="4" fillId="0" borderId="9" xfId="0" applyNumberFormat="1" applyFont="1" applyFill="1" applyBorder="1" applyAlignment="1">
      <alignment horizontal="right" vertical="center"/>
    </xf>
    <xf numFmtId="0" fontId="0" fillId="0" borderId="42" xfId="0" applyFont="1" applyBorder="1" applyAlignment="1">
      <alignment horizontal="left" vertical="center" indent="2"/>
    </xf>
    <xf numFmtId="178" fontId="0" fillId="0" borderId="33" xfId="0" applyNumberFormat="1" applyFont="1" applyFill="1" applyBorder="1" applyAlignment="1">
      <alignment horizontal="right" vertical="center"/>
    </xf>
    <xf numFmtId="178" fontId="0" fillId="0" borderId="28" xfId="0" applyNumberFormat="1" applyFont="1" applyFill="1" applyBorder="1" applyAlignment="1">
      <alignment horizontal="right" vertical="center"/>
    </xf>
    <xf numFmtId="178" fontId="0" fillId="0" borderId="7" xfId="0" applyNumberFormat="1" applyFont="1" applyFill="1" applyBorder="1" applyAlignment="1">
      <alignment horizontal="right" vertical="center"/>
    </xf>
    <xf numFmtId="181" fontId="0" fillId="0" borderId="9" xfId="0" applyNumberFormat="1" applyFont="1" applyFill="1" applyBorder="1" applyAlignment="1">
      <alignment horizontal="right" vertical="center"/>
    </xf>
    <xf numFmtId="178" fontId="0" fillId="0" borderId="43" xfId="0" applyNumberFormat="1" applyFont="1" applyFill="1" applyBorder="1" applyAlignment="1">
      <alignment horizontal="right" vertical="center"/>
    </xf>
    <xf numFmtId="178" fontId="0" fillId="0" borderId="42" xfId="0" applyNumberFormat="1" applyFont="1" applyFill="1" applyBorder="1" applyAlignment="1">
      <alignment horizontal="right" vertical="center"/>
    </xf>
    <xf numFmtId="178" fontId="4" fillId="0" borderId="29" xfId="0" applyNumberFormat="1" applyFont="1" applyFill="1" applyBorder="1" applyAlignment="1">
      <alignment horizontal="right" vertical="center"/>
    </xf>
    <xf numFmtId="178" fontId="4" fillId="0" borderId="42" xfId="0" applyNumberFormat="1" applyFont="1" applyFill="1" applyBorder="1" applyAlignment="1">
      <alignment horizontal="right" vertical="center"/>
    </xf>
    <xf numFmtId="0" fontId="12" fillId="0" borderId="42" xfId="0" applyFont="1" applyFill="1" applyBorder="1" applyAlignment="1">
      <alignment vertical="center"/>
    </xf>
    <xf numFmtId="178" fontId="12" fillId="0" borderId="31" xfId="0" applyNumberFormat="1" applyFont="1" applyFill="1" applyBorder="1" applyAlignment="1">
      <alignment horizontal="right" vertical="center"/>
    </xf>
    <xf numFmtId="178" fontId="12" fillId="0" borderId="29" xfId="0" applyNumberFormat="1" applyFont="1" applyFill="1" applyBorder="1" applyAlignment="1">
      <alignment horizontal="right" vertical="center"/>
    </xf>
    <xf numFmtId="178" fontId="12" fillId="0" borderId="42" xfId="0" applyNumberFormat="1" applyFont="1" applyFill="1" applyBorder="1" applyAlignment="1">
      <alignment horizontal="right" vertical="center"/>
    </xf>
    <xf numFmtId="178" fontId="12" fillId="0" borderId="7" xfId="0" applyNumberFormat="1" applyFont="1" applyFill="1" applyBorder="1" applyAlignment="1">
      <alignment horizontal="right" vertical="center"/>
    </xf>
    <xf numFmtId="181" fontId="12" fillId="0" borderId="9" xfId="0" applyNumberFormat="1" applyFont="1" applyFill="1" applyBorder="1" applyAlignment="1">
      <alignment horizontal="right" vertical="center"/>
    </xf>
    <xf numFmtId="0" fontId="0" fillId="0" borderId="42" xfId="0" applyFont="1" applyFill="1" applyBorder="1" applyAlignment="1">
      <alignment horizontal="left" vertical="center" indent="1"/>
    </xf>
    <xf numFmtId="178" fontId="0" fillId="0" borderId="44" xfId="0" applyNumberFormat="1" applyFont="1" applyFill="1" applyBorder="1" applyAlignment="1">
      <alignment horizontal="right" vertical="center"/>
    </xf>
    <xf numFmtId="178" fontId="0" fillId="0" borderId="30" xfId="0" applyNumberFormat="1" applyFont="1" applyFill="1" applyBorder="1" applyAlignment="1">
      <alignment horizontal="right" vertical="center"/>
    </xf>
    <xf numFmtId="178" fontId="0" fillId="0" borderId="31" xfId="0" applyNumberFormat="1" applyFont="1" applyFill="1" applyBorder="1" applyAlignment="1">
      <alignment horizontal="right" vertical="center"/>
    </xf>
    <xf numFmtId="0" fontId="0" fillId="0" borderId="42" xfId="0" applyFont="1" applyFill="1" applyBorder="1" applyAlignment="1">
      <alignment horizontal="left" vertical="center" indent="1" shrinkToFit="1"/>
    </xf>
    <xf numFmtId="181" fontId="12" fillId="0" borderId="31" xfId="0" applyNumberFormat="1" applyFont="1" applyFill="1" applyBorder="1" applyAlignment="1">
      <alignment horizontal="right" vertical="center"/>
    </xf>
    <xf numFmtId="181" fontId="12" fillId="0" borderId="29" xfId="0" applyNumberFormat="1" applyFont="1" applyFill="1" applyBorder="1" applyAlignment="1">
      <alignment horizontal="right" vertical="center"/>
    </xf>
    <xf numFmtId="181" fontId="12" fillId="0" borderId="42" xfId="0" applyNumberFormat="1" applyFont="1" applyFill="1" applyBorder="1" applyAlignment="1">
      <alignment horizontal="right" vertical="center"/>
    </xf>
    <xf numFmtId="181" fontId="12" fillId="0" borderId="7" xfId="0" applyNumberFormat="1" applyFont="1" applyFill="1" applyBorder="1" applyAlignment="1">
      <alignment horizontal="right" vertical="center"/>
    </xf>
    <xf numFmtId="0" fontId="0" fillId="0" borderId="37" xfId="0" applyFont="1" applyFill="1" applyBorder="1" applyAlignment="1">
      <alignment vertical="center" shrinkToFit="1"/>
    </xf>
    <xf numFmtId="181" fontId="0" fillId="0" borderId="45" xfId="0" applyNumberFormat="1" applyFont="1" applyFill="1" applyBorder="1" applyAlignment="1">
      <alignment horizontal="right" vertical="center"/>
    </xf>
    <xf numFmtId="181" fontId="0" fillId="0" borderId="46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2" xfId="0" applyNumberFormat="1" applyFont="1" applyFill="1" applyBorder="1" applyAlignment="1">
      <alignment horizontal="right" vertical="center"/>
    </xf>
    <xf numFmtId="0" fontId="11" fillId="0" borderId="13" xfId="0" applyFont="1" applyFill="1" applyBorder="1"/>
    <xf numFmtId="0" fontId="11" fillId="0" borderId="15" xfId="0" applyFont="1" applyFill="1" applyBorder="1"/>
    <xf numFmtId="0" fontId="11" fillId="0" borderId="14" xfId="0" applyFont="1" applyFill="1" applyBorder="1"/>
    <xf numFmtId="178" fontId="11" fillId="0" borderId="15" xfId="0" applyNumberFormat="1" applyFont="1" applyFill="1" applyBorder="1"/>
    <xf numFmtId="181" fontId="11" fillId="0" borderId="15" xfId="0" applyNumberFormat="1" applyFont="1" applyFill="1" applyBorder="1"/>
    <xf numFmtId="0" fontId="8" fillId="0" borderId="0" xfId="0" applyFont="1" applyFill="1" applyAlignment="1">
      <alignment horizontal="left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right" vertical="center"/>
    </xf>
    <xf numFmtId="0" fontId="55" fillId="0" borderId="6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/>
    </xf>
    <xf numFmtId="0" fontId="55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56" fillId="0" borderId="0" xfId="61" applyFont="1" applyFill="1" applyAlignment="1"/>
    <xf numFmtId="0" fontId="4" fillId="0" borderId="0" xfId="61" applyFont="1" applyFill="1" applyAlignment="1"/>
    <xf numFmtId="0" fontId="4" fillId="0" borderId="0" xfId="61" applyFont="1" applyFill="1" applyAlignment="1">
      <alignment vertical="center"/>
    </xf>
    <xf numFmtId="0" fontId="30" fillId="0" borderId="0" xfId="61" applyFont="1" applyFill="1" applyAlignment="1"/>
    <xf numFmtId="0" fontId="11" fillId="0" borderId="0" xfId="61" applyFont="1" applyFill="1" applyAlignment="1">
      <alignment horizontal="left"/>
    </xf>
    <xf numFmtId="0" fontId="11" fillId="0" borderId="0" xfId="61" applyFont="1" applyFill="1" applyAlignment="1">
      <alignment horizontal="right" vertical="center"/>
    </xf>
    <xf numFmtId="0" fontId="11" fillId="0" borderId="0" xfId="61" applyFont="1" applyFill="1" applyAlignment="1">
      <alignment horizontal="center" vertical="center"/>
    </xf>
    <xf numFmtId="0" fontId="63" fillId="0" borderId="0" xfId="61" applyFont="1" applyFill="1" applyAlignment="1">
      <alignment horizontal="center" vertical="center"/>
    </xf>
    <xf numFmtId="179" fontId="11" fillId="0" borderId="0" xfId="61" applyNumberFormat="1" applyFont="1" applyFill="1" applyAlignment="1">
      <alignment horizontal="center" vertical="center"/>
    </xf>
    <xf numFmtId="181" fontId="11" fillId="0" borderId="0" xfId="61" applyNumberFormat="1" applyFont="1" applyFill="1" applyAlignment="1">
      <alignment horizontal="center" vertical="center"/>
    </xf>
    <xf numFmtId="0" fontId="11" fillId="0" borderId="0" xfId="61" applyFont="1" applyFill="1" applyAlignment="1">
      <alignment horizontal="left" vertical="center" wrapText="1"/>
    </xf>
    <xf numFmtId="0" fontId="11" fillId="0" borderId="0" xfId="61" applyFont="1" applyFill="1" applyAlignment="1"/>
    <xf numFmtId="178" fontId="11" fillId="0" borderId="0" xfId="61" applyNumberFormat="1" applyFont="1" applyFill="1" applyAlignment="1"/>
    <xf numFmtId="0" fontId="0" fillId="0" borderId="0" xfId="61" applyFont="1" applyFill="1" applyAlignment="1">
      <alignment vertical="center"/>
    </xf>
    <xf numFmtId="0" fontId="0" fillId="0" borderId="0" xfId="61" applyFont="1" applyFill="1" applyAlignment="1">
      <alignment horizontal="left"/>
    </xf>
    <xf numFmtId="0" fontId="0" fillId="0" borderId="0" xfId="61" applyFont="1" applyFill="1" applyAlignment="1">
      <alignment horizontal="right" vertical="center"/>
    </xf>
    <xf numFmtId="0" fontId="21" fillId="0" borderId="0" xfId="53" applyFont="1" applyFill="1" applyAlignment="1">
      <alignment horizontal="center" vertical="center"/>
    </xf>
    <xf numFmtId="0" fontId="21" fillId="0" borderId="0" xfId="53" applyFont="1" applyFill="1" applyAlignment="1">
      <alignment horizontal="right" vertical="center"/>
    </xf>
    <xf numFmtId="178" fontId="56" fillId="0" borderId="0" xfId="53" applyNumberFormat="1" applyFont="1" applyFill="1" applyAlignment="1">
      <alignment horizontal="left" vertical="center" wrapText="1"/>
    </xf>
    <xf numFmtId="178" fontId="56" fillId="0" borderId="0" xfId="53" applyNumberFormat="1" applyFont="1" applyFill="1" applyAlignment="1">
      <alignment horizontal="right" vertical="center" wrapText="1"/>
    </xf>
    <xf numFmtId="178" fontId="56" fillId="0" borderId="0" xfId="53" applyNumberFormat="1" applyFont="1" applyFill="1" applyAlignment="1">
      <alignment horizontal="center" vertical="center" wrapText="1"/>
    </xf>
    <xf numFmtId="178" fontId="64" fillId="0" borderId="0" xfId="53" applyNumberFormat="1" applyFont="1" applyFill="1" applyAlignment="1">
      <alignment horizontal="center" vertical="center" wrapText="1"/>
    </xf>
    <xf numFmtId="179" fontId="0" fillId="0" borderId="0" xfId="53" applyNumberFormat="1" applyFont="1" applyFill="1" applyAlignment="1">
      <alignment horizontal="center" vertical="center"/>
    </xf>
    <xf numFmtId="181" fontId="0" fillId="0" borderId="0" xfId="53" applyNumberFormat="1" applyFont="1" applyFill="1" applyAlignment="1">
      <alignment horizontal="center" vertical="center"/>
    </xf>
    <xf numFmtId="179" fontId="27" fillId="0" borderId="24" xfId="53" applyNumberFormat="1" applyFont="1" applyFill="1" applyBorder="1" applyAlignment="1">
      <alignment horizontal="right" vertical="center"/>
    </xf>
    <xf numFmtId="0" fontId="4" fillId="0" borderId="8" xfId="53" applyFont="1" applyFill="1" applyBorder="1" applyAlignment="1">
      <alignment horizontal="center" vertical="center" wrapText="1"/>
    </xf>
    <xf numFmtId="0" fontId="4" fillId="0" borderId="27" xfId="53" applyFont="1" applyFill="1" applyBorder="1" applyAlignment="1">
      <alignment horizontal="center" vertical="center" wrapText="1"/>
    </xf>
    <xf numFmtId="0" fontId="4" fillId="0" borderId="8" xfId="61" applyFont="1" applyFill="1" applyBorder="1" applyAlignment="1">
      <alignment horizontal="center" vertical="center"/>
    </xf>
    <xf numFmtId="181" fontId="4" fillId="0" borderId="8" xfId="53" applyNumberFormat="1" applyFont="1" applyFill="1" applyBorder="1" applyAlignment="1">
      <alignment horizontal="center" vertical="center" wrapText="1"/>
    </xf>
    <xf numFmtId="0" fontId="4" fillId="0" borderId="28" xfId="53" applyFont="1" applyFill="1" applyBorder="1" applyAlignment="1">
      <alignment horizontal="center" vertical="center" wrapText="1"/>
    </xf>
    <xf numFmtId="0" fontId="10" fillId="0" borderId="8" xfId="53" applyFont="1" applyFill="1" applyBorder="1" applyAlignment="1">
      <alignment horizontal="center" vertical="center" wrapText="1"/>
    </xf>
    <xf numFmtId="0" fontId="65" fillId="0" borderId="8" xfId="53" applyFont="1" applyFill="1" applyBorder="1" applyAlignment="1">
      <alignment horizontal="center" vertical="center" wrapText="1"/>
    </xf>
    <xf numFmtId="179" fontId="10" fillId="0" borderId="8" xfId="53" applyNumberFormat="1" applyFont="1" applyFill="1" applyBorder="1" applyAlignment="1">
      <alignment horizontal="center" vertical="center" wrapText="1"/>
    </xf>
    <xf numFmtId="181" fontId="10" fillId="0" borderId="8" xfId="53" applyNumberFormat="1" applyFont="1" applyFill="1" applyBorder="1" applyAlignment="1">
      <alignment horizontal="center" vertical="center" wrapText="1"/>
    </xf>
    <xf numFmtId="49" fontId="6" fillId="0" borderId="8" xfId="61" applyNumberFormat="1" applyFont="1" applyFill="1" applyBorder="1" applyAlignment="1">
      <alignment vertical="center" shrinkToFit="1"/>
    </xf>
    <xf numFmtId="178" fontId="12" fillId="0" borderId="8" xfId="61" applyNumberFormat="1" applyFont="1" applyFill="1" applyBorder="1" applyAlignment="1">
      <alignment horizontal="right" vertical="center"/>
    </xf>
    <xf numFmtId="178" fontId="12" fillId="0" borderId="8" xfId="61" applyNumberFormat="1" applyFont="1" applyFill="1" applyBorder="1" applyAlignment="1">
      <alignment vertical="center"/>
    </xf>
    <xf numFmtId="178" fontId="66" fillId="0" borderId="8" xfId="61" applyNumberFormat="1" applyFont="1" applyFill="1" applyBorder="1" applyAlignment="1">
      <alignment vertical="center"/>
    </xf>
    <xf numFmtId="181" fontId="12" fillId="0" borderId="8" xfId="61" applyNumberFormat="1" applyFont="1" applyFill="1" applyBorder="1" applyAlignment="1">
      <alignment vertical="center"/>
    </xf>
    <xf numFmtId="0" fontId="38" fillId="0" borderId="8" xfId="61" applyFont="1" applyFill="1" applyBorder="1" applyAlignment="1">
      <alignment vertical="center" wrapText="1"/>
    </xf>
    <xf numFmtId="49" fontId="5" fillId="0" borderId="8" xfId="61" applyNumberFormat="1" applyFont="1" applyFill="1" applyBorder="1" applyAlignment="1">
      <alignment horizontal="left" vertical="center" indent="1" shrinkToFit="1"/>
    </xf>
    <xf numFmtId="178" fontId="4" fillId="0" borderId="8" xfId="61" applyNumberFormat="1" applyFont="1" applyFill="1" applyBorder="1" applyAlignment="1">
      <alignment horizontal="right" vertical="center"/>
    </xf>
    <xf numFmtId="178" fontId="4" fillId="0" borderId="8" xfId="61" applyNumberFormat="1" applyFont="1" applyFill="1" applyBorder="1" applyAlignment="1">
      <alignment vertical="center"/>
    </xf>
    <xf numFmtId="178" fontId="67" fillId="0" borderId="8" xfId="61" applyNumberFormat="1" applyFont="1" applyFill="1" applyBorder="1" applyAlignment="1">
      <alignment vertical="center"/>
    </xf>
    <xf numFmtId="181" fontId="4" fillId="0" borderId="8" xfId="61" applyNumberFormat="1" applyFont="1" applyFill="1" applyBorder="1" applyAlignment="1">
      <alignment horizontal="right" vertical="center"/>
    </xf>
    <xf numFmtId="0" fontId="0" fillId="0" borderId="8" xfId="61" applyFont="1" applyFill="1" applyBorder="1" applyAlignment="1">
      <alignment vertical="center" wrapText="1"/>
    </xf>
    <xf numFmtId="49" fontId="8" fillId="0" borderId="8" xfId="61" applyNumberFormat="1" applyFont="1" applyFill="1" applyBorder="1" applyAlignment="1">
      <alignment horizontal="left" vertical="center" indent="2" shrinkToFit="1"/>
    </xf>
    <xf numFmtId="0" fontId="40" fillId="0" borderId="8" xfId="0" applyNumberFormat="1" applyFont="1" applyFill="1" applyBorder="1" applyAlignment="1">
      <alignment horizontal="right" vertical="center"/>
    </xf>
    <xf numFmtId="178" fontId="40" fillId="0" borderId="8" xfId="61" applyNumberFormat="1" applyFont="1" applyFill="1" applyBorder="1" applyAlignment="1">
      <alignment horizontal="right" vertical="center"/>
    </xf>
    <xf numFmtId="181" fontId="0" fillId="0" borderId="8" xfId="61" applyNumberFormat="1" applyFont="1" applyFill="1" applyBorder="1" applyAlignment="1">
      <alignment horizontal="right" vertical="center"/>
    </xf>
    <xf numFmtId="178" fontId="40" fillId="0" borderId="8" xfId="61" applyNumberFormat="1" applyFont="1" applyFill="1" applyBorder="1" applyAlignment="1">
      <alignment vertical="center"/>
    </xf>
    <xf numFmtId="179" fontId="40" fillId="0" borderId="8" xfId="0" applyNumberFormat="1" applyFont="1" applyFill="1" applyBorder="1" applyAlignment="1">
      <alignment vertical="center"/>
    </xf>
    <xf numFmtId="49" fontId="5" fillId="0" borderId="8" xfId="61" applyNumberFormat="1" applyFont="1" applyFill="1" applyBorder="1" applyAlignment="1">
      <alignment horizontal="center" vertical="center" shrinkToFit="1"/>
    </xf>
    <xf numFmtId="49" fontId="8" fillId="0" borderId="8" xfId="61" applyNumberFormat="1" applyFont="1" applyFill="1" applyBorder="1" applyAlignment="1">
      <alignment horizontal="center" vertical="center" shrinkToFit="1"/>
    </xf>
    <xf numFmtId="179" fontId="40" fillId="0" borderId="8" xfId="0" applyNumberFormat="1" applyFont="1" applyFill="1" applyBorder="1" applyAlignment="1">
      <alignment horizontal="right" vertical="center"/>
    </xf>
    <xf numFmtId="0" fontId="11" fillId="7" borderId="0" xfId="61" applyFont="1" applyFill="1" applyAlignment="1"/>
    <xf numFmtId="178" fontId="11" fillId="7" borderId="0" xfId="61" applyNumberFormat="1" applyFont="1" applyFill="1" applyAlignment="1"/>
    <xf numFmtId="178" fontId="56" fillId="0" borderId="0" xfId="61" applyNumberFormat="1" applyFont="1" applyFill="1" applyAlignment="1"/>
    <xf numFmtId="178" fontId="4" fillId="0" borderId="0" xfId="61" applyNumberFormat="1" applyFont="1" applyFill="1" applyAlignment="1"/>
    <xf numFmtId="0" fontId="67" fillId="0" borderId="29" xfId="0" applyFont="1" applyFill="1" applyBorder="1" applyAlignment="1">
      <alignment horizontal="left" vertical="center" shrinkToFit="1"/>
    </xf>
    <xf numFmtId="0" fontId="40" fillId="0" borderId="27" xfId="0" applyNumberFormat="1" applyFont="1" applyFill="1" applyBorder="1" applyAlignment="1">
      <alignment horizontal="right" vertical="center"/>
    </xf>
    <xf numFmtId="178" fontId="0" fillId="0" borderId="8" xfId="61" applyNumberFormat="1" applyFont="1" applyFill="1" applyBorder="1" applyAlignment="1">
      <alignment vertical="center"/>
    </xf>
    <xf numFmtId="181" fontId="12" fillId="0" borderId="8" xfId="61" applyNumberFormat="1" applyFont="1" applyFill="1" applyBorder="1" applyAlignment="1">
      <alignment horizontal="right" vertical="center"/>
    </xf>
    <xf numFmtId="0" fontId="40" fillId="0" borderId="28" xfId="0" applyNumberFormat="1" applyFont="1" applyFill="1" applyBorder="1" applyAlignment="1">
      <alignment horizontal="right" vertical="center"/>
    </xf>
    <xf numFmtId="0" fontId="32" fillId="0" borderId="8" xfId="61" applyFont="1" applyFill="1" applyBorder="1" applyAlignment="1">
      <alignment vertical="center" wrapText="1"/>
    </xf>
    <xf numFmtId="178" fontId="30" fillId="0" borderId="0" xfId="61" applyNumberFormat="1" applyFont="1" applyFill="1" applyAlignment="1"/>
    <xf numFmtId="178" fontId="0" fillId="0" borderId="8" xfId="61" applyNumberFormat="1" applyFont="1" applyFill="1" applyBorder="1" applyAlignment="1">
      <alignment horizontal="right" vertical="center"/>
    </xf>
    <xf numFmtId="0" fontId="8" fillId="0" borderId="8" xfId="0" applyNumberFormat="1" applyFont="1" applyFill="1" applyBorder="1" applyAlignment="1">
      <alignment horizontal="left" vertical="center" indent="2" shrinkToFit="1"/>
    </xf>
    <xf numFmtId="178" fontId="67" fillId="0" borderId="8" xfId="61" applyNumberFormat="1" applyFont="1" applyFill="1" applyBorder="1" applyAlignment="1">
      <alignment horizontal="right" vertical="center"/>
    </xf>
    <xf numFmtId="0" fontId="4" fillId="0" borderId="8" xfId="61" applyFont="1" applyFill="1" applyBorder="1" applyAlignment="1">
      <alignment vertical="center" wrapText="1"/>
    </xf>
    <xf numFmtId="182" fontId="68" fillId="0" borderId="8" xfId="0" applyNumberFormat="1" applyFont="1" applyFill="1" applyBorder="1" applyAlignment="1">
      <alignment vertical="center" wrapText="1"/>
    </xf>
    <xf numFmtId="0" fontId="37" fillId="0" borderId="8" xfId="61" applyFont="1" applyFill="1" applyBorder="1" applyAlignment="1">
      <alignment vertical="center" wrapText="1"/>
    </xf>
    <xf numFmtId="49" fontId="8" fillId="0" borderId="8" xfId="61" applyNumberFormat="1" applyFont="1" applyFill="1" applyBorder="1" applyAlignment="1">
      <alignment horizontal="left" vertical="center" indent="1" shrinkToFit="1"/>
    </xf>
    <xf numFmtId="179" fontId="67" fillId="0" borderId="8" xfId="0" applyNumberFormat="1" applyFont="1" applyFill="1" applyBorder="1" applyAlignment="1">
      <alignment vertical="center"/>
    </xf>
    <xf numFmtId="49" fontId="8" fillId="0" borderId="8" xfId="0" applyNumberFormat="1" applyFont="1" applyFill="1" applyBorder="1" applyAlignment="1">
      <alignment horizontal="left" vertical="center" wrapText="1" indent="2"/>
    </xf>
    <xf numFmtId="182" fontId="69" fillId="0" borderId="8" xfId="0" applyNumberFormat="1" applyFont="1" applyFill="1" applyBorder="1" applyAlignment="1">
      <alignment vertical="center" wrapText="1"/>
    </xf>
    <xf numFmtId="181" fontId="4" fillId="0" borderId="8" xfId="61" applyNumberFormat="1" applyFont="1" applyFill="1" applyBorder="1" applyAlignment="1">
      <alignment horizontal="right" vertical="center" wrapText="1"/>
    </xf>
    <xf numFmtId="49" fontId="4" fillId="0" borderId="8" xfId="61" applyNumberFormat="1" applyFont="1" applyFill="1" applyBorder="1" applyAlignment="1">
      <alignment horizontal="right" vertical="center" wrapText="1"/>
    </xf>
    <xf numFmtId="178" fontId="12" fillId="0" borderId="28" xfId="61" applyNumberFormat="1" applyFont="1" applyFill="1" applyBorder="1" applyAlignment="1">
      <alignment vertical="center"/>
    </xf>
    <xf numFmtId="178" fontId="66" fillId="0" borderId="28" xfId="61" applyNumberFormat="1" applyFont="1" applyFill="1" applyBorder="1" applyAlignment="1">
      <alignment vertical="center"/>
    </xf>
    <xf numFmtId="0" fontId="70" fillId="0" borderId="8" xfId="61" applyFont="1" applyFill="1" applyBorder="1" applyAlignment="1">
      <alignment vertical="center" wrapText="1"/>
    </xf>
    <xf numFmtId="49" fontId="8" fillId="0" borderId="8" xfId="61" applyNumberFormat="1" applyFont="1" applyFill="1" applyBorder="1" applyAlignment="1">
      <alignment horizontal="right" vertical="center" indent="1" shrinkToFit="1"/>
    </xf>
    <xf numFmtId="179" fontId="67" fillId="0" borderId="8" xfId="0" applyNumberFormat="1" applyFont="1" applyFill="1" applyBorder="1" applyAlignment="1">
      <alignment horizontal="right" vertical="center"/>
    </xf>
    <xf numFmtId="178" fontId="12" fillId="0" borderId="28" xfId="61" applyNumberFormat="1" applyFont="1" applyFill="1" applyBorder="1" applyAlignment="1">
      <alignment horizontal="right" vertical="center"/>
    </xf>
    <xf numFmtId="0" fontId="71" fillId="0" borderId="8" xfId="61" applyFont="1" applyFill="1" applyBorder="1" applyAlignment="1">
      <alignment vertical="center" wrapText="1"/>
    </xf>
    <xf numFmtId="0" fontId="72" fillId="0" borderId="8" xfId="61" applyFont="1" applyFill="1" applyBorder="1" applyAlignment="1">
      <alignment vertical="center" wrapText="1"/>
    </xf>
    <xf numFmtId="49" fontId="9" fillId="0" borderId="8" xfId="61" applyNumberFormat="1" applyFont="1" applyFill="1" applyBorder="1" applyAlignment="1">
      <alignment horizontal="left" vertical="center" indent="1" shrinkToFit="1"/>
    </xf>
    <xf numFmtId="0" fontId="67" fillId="0" borderId="8" xfId="0" applyNumberFormat="1" applyFont="1" applyFill="1" applyBorder="1" applyAlignment="1">
      <alignment horizontal="right" vertical="center"/>
    </xf>
    <xf numFmtId="49" fontId="9" fillId="0" borderId="8" xfId="61" applyNumberFormat="1" applyFont="1" applyFill="1" applyBorder="1" applyAlignment="1">
      <alignment horizontal="center" vertical="center" shrinkToFit="1"/>
    </xf>
    <xf numFmtId="178" fontId="32" fillId="0" borderId="8" xfId="61" applyNumberFormat="1" applyFont="1" applyFill="1" applyBorder="1" applyAlignment="1">
      <alignment vertical="center"/>
    </xf>
    <xf numFmtId="0" fontId="73" fillId="0" borderId="8" xfId="61" applyFont="1" applyFill="1" applyBorder="1" applyAlignment="1">
      <alignment vertical="center" wrapText="1"/>
    </xf>
    <xf numFmtId="0" fontId="72" fillId="0" borderId="8" xfId="61" applyFont="1" applyFill="1" applyBorder="1" applyAlignment="1">
      <alignment horizontal="left" vertical="center" wrapText="1"/>
    </xf>
    <xf numFmtId="49" fontId="61" fillId="0" borderId="8" xfId="61" applyNumberFormat="1" applyFont="1" applyFill="1" applyBorder="1" applyAlignment="1">
      <alignment horizontal="left" vertical="center" indent="1" shrinkToFit="1"/>
    </xf>
    <xf numFmtId="0" fontId="0" fillId="0" borderId="8" xfId="61" applyFont="1" applyFill="1" applyBorder="1" applyAlignment="1">
      <alignment horizontal="left" vertical="center" wrapText="1"/>
    </xf>
    <xf numFmtId="179" fontId="40" fillId="0" borderId="27" xfId="0" applyNumberFormat="1" applyFont="1" applyFill="1" applyBorder="1" applyAlignment="1">
      <alignment horizontal="right" vertical="center"/>
    </xf>
    <xf numFmtId="0" fontId="32" fillId="0" borderId="8" xfId="61" applyFont="1" applyFill="1" applyBorder="1" applyAlignment="1">
      <alignment horizontal="left" vertical="center" wrapText="1"/>
    </xf>
    <xf numFmtId="0" fontId="10" fillId="0" borderId="8" xfId="61" applyFont="1" applyFill="1" applyBorder="1" applyAlignment="1">
      <alignment horizontal="left" vertical="center" wrapText="1"/>
    </xf>
    <xf numFmtId="181" fontId="11" fillId="0" borderId="8" xfId="61" applyNumberFormat="1" applyFont="1" applyFill="1" applyBorder="1" applyAlignment="1">
      <alignment horizontal="center" vertical="center"/>
    </xf>
    <xf numFmtId="0" fontId="11" fillId="0" borderId="8" xfId="61" applyFont="1" applyFill="1" applyBorder="1" applyAlignment="1">
      <alignment horizontal="left" vertical="center" wrapText="1"/>
    </xf>
    <xf numFmtId="0" fontId="47" fillId="0" borderId="8" xfId="61" applyFont="1" applyFill="1" applyBorder="1" applyAlignment="1">
      <alignment horizontal="left" vertical="center" wrapText="1"/>
    </xf>
    <xf numFmtId="0" fontId="49" fillId="0" borderId="8" xfId="61" applyFont="1" applyFill="1" applyBorder="1" applyAlignment="1">
      <alignment horizontal="left" vertical="center" wrapText="1"/>
    </xf>
    <xf numFmtId="0" fontId="36" fillId="0" borderId="8" xfId="61" applyFont="1" applyFill="1" applyBorder="1" applyAlignment="1">
      <alignment horizontal="left" vertical="center" wrapText="1"/>
    </xf>
    <xf numFmtId="0" fontId="73" fillId="0" borderId="8" xfId="61" applyFont="1" applyFill="1" applyBorder="1" applyAlignment="1">
      <alignment horizontal="left" vertical="center" wrapText="1"/>
    </xf>
    <xf numFmtId="0" fontId="12" fillId="0" borderId="8" xfId="61" applyFont="1" applyFill="1" applyBorder="1" applyAlignment="1">
      <alignment horizontal="center" vertical="center"/>
    </xf>
    <xf numFmtId="0" fontId="4" fillId="2" borderId="0" xfId="0" applyFont="1" applyFill="1"/>
    <xf numFmtId="0" fontId="11" fillId="2" borderId="0" xfId="0" applyFont="1" applyFill="1"/>
    <xf numFmtId="184" fontId="11" fillId="0" borderId="0" xfId="0" applyNumberFormat="1" applyFont="1" applyFill="1"/>
    <xf numFmtId="0" fontId="0" fillId="2" borderId="0" xfId="0" applyFont="1" applyFill="1"/>
    <xf numFmtId="0" fontId="2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183" fontId="11" fillId="2" borderId="0" xfId="0" applyNumberFormat="1" applyFont="1" applyFill="1" applyAlignment="1">
      <alignment horizontal="center" vertical="center"/>
    </xf>
    <xf numFmtId="183" fontId="11" fillId="0" borderId="0" xfId="0" applyNumberFormat="1" applyFont="1" applyFill="1" applyAlignment="1">
      <alignment horizontal="center" vertical="center"/>
    </xf>
    <xf numFmtId="183" fontId="0" fillId="0" borderId="0" xfId="0" applyNumberFormat="1" applyFont="1" applyFill="1" applyAlignment="1">
      <alignment horizontal="right" vertical="center"/>
    </xf>
    <xf numFmtId="0" fontId="4" fillId="2" borderId="52" xfId="0" applyFont="1" applyFill="1" applyBorder="1" applyAlignment="1">
      <alignment horizontal="center" vertical="center" wrapText="1"/>
    </xf>
    <xf numFmtId="179" fontId="4" fillId="0" borderId="34" xfId="0" applyNumberFormat="1" applyFont="1" applyFill="1" applyBorder="1" applyAlignment="1">
      <alignment horizontal="center" vertical="center" wrapText="1"/>
    </xf>
    <xf numFmtId="179" fontId="4" fillId="0" borderId="53" xfId="0" applyNumberFormat="1" applyFont="1" applyFill="1" applyBorder="1" applyAlignment="1">
      <alignment horizontal="center" vertical="center" wrapText="1"/>
    </xf>
    <xf numFmtId="179" fontId="4" fillId="0" borderId="4" xfId="0" applyNumberFormat="1" applyFont="1" applyFill="1" applyBorder="1" applyAlignment="1">
      <alignment horizontal="center" vertical="center" wrapText="1"/>
    </xf>
    <xf numFmtId="179" fontId="4" fillId="0" borderId="6" xfId="0" applyNumberFormat="1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179" fontId="4" fillId="0" borderId="37" xfId="0" applyNumberFormat="1" applyFont="1" applyFill="1" applyBorder="1" applyAlignment="1">
      <alignment horizontal="center" vertical="center" wrapText="1"/>
    </xf>
    <xf numFmtId="179" fontId="4" fillId="0" borderId="55" xfId="0" applyNumberFormat="1" applyFont="1" applyFill="1" applyBorder="1" applyAlignment="1">
      <alignment horizontal="center" vertical="center" wrapText="1"/>
    </xf>
    <xf numFmtId="179" fontId="4" fillId="0" borderId="10" xfId="0" applyNumberFormat="1" applyFont="1" applyFill="1" applyBorder="1" applyAlignment="1">
      <alignment horizontal="center" vertical="center" wrapText="1"/>
    </xf>
    <xf numFmtId="184" fontId="4" fillId="0" borderId="11" xfId="0" applyNumberFormat="1" applyFont="1" applyFill="1" applyBorder="1" applyAlignment="1">
      <alignment horizontal="center" vertical="center" wrapText="1"/>
    </xf>
    <xf numFmtId="0" fontId="12" fillId="0" borderId="56" xfId="0" applyFont="1" applyBorder="1" applyAlignment="1">
      <alignment vertical="center" wrapText="1"/>
    </xf>
    <xf numFmtId="178" fontId="12" fillId="0" borderId="40" xfId="0" applyNumberFormat="1" applyFont="1" applyBorder="1" applyAlignment="1">
      <alignment vertical="center"/>
    </xf>
    <xf numFmtId="178" fontId="12" fillId="0" borderId="57" xfId="0" applyNumberFormat="1" applyFont="1" applyFill="1" applyBorder="1" applyAlignment="1">
      <alignment horizontal="right" vertical="center"/>
    </xf>
    <xf numFmtId="184" fontId="12" fillId="0" borderId="28" xfId="0" applyNumberFormat="1" applyFont="1" applyFill="1" applyBorder="1" applyAlignment="1">
      <alignment horizontal="right" vertical="center"/>
    </xf>
    <xf numFmtId="181" fontId="12" fillId="0" borderId="58" xfId="0" applyNumberFormat="1" applyFont="1" applyFill="1" applyBorder="1" applyAlignment="1">
      <alignment horizontal="right" vertical="center"/>
    </xf>
    <xf numFmtId="0" fontId="4" fillId="0" borderId="26" xfId="0" applyFont="1" applyBorder="1" applyAlignment="1">
      <alignment horizontal="left" vertical="center" indent="1"/>
    </xf>
    <xf numFmtId="178" fontId="62" fillId="0" borderId="42" xfId="0" applyNumberFormat="1" applyFont="1" applyBorder="1" applyAlignment="1">
      <alignment horizontal="right" vertical="center"/>
    </xf>
    <xf numFmtId="178" fontId="62" fillId="0" borderId="59" xfId="0" applyNumberFormat="1" applyFont="1" applyFill="1" applyBorder="1" applyAlignment="1">
      <alignment horizontal="right" vertical="center"/>
    </xf>
    <xf numFmtId="184" fontId="62" fillId="0" borderId="28" xfId="0" applyNumberFormat="1" applyFont="1" applyFill="1" applyBorder="1" applyAlignment="1">
      <alignment horizontal="right" vertical="center"/>
    </xf>
    <xf numFmtId="181" fontId="62" fillId="0" borderId="9" xfId="0" applyNumberFormat="1" applyFont="1" applyFill="1" applyBorder="1" applyAlignment="1">
      <alignment horizontal="right" vertical="center"/>
    </xf>
    <xf numFmtId="0" fontId="0" fillId="0" borderId="26" xfId="0" applyFont="1" applyBorder="1" applyAlignment="1">
      <alignment horizontal="left" vertical="center" indent="2"/>
    </xf>
    <xf numFmtId="178" fontId="0" fillId="8" borderId="42" xfId="0" applyNumberFormat="1" applyFont="1" applyFill="1" applyBorder="1" applyAlignment="1" applyProtection="1">
      <alignment vertical="center"/>
    </xf>
    <xf numFmtId="178" fontId="0" fillId="0" borderId="59" xfId="0" applyNumberFormat="1" applyFont="1" applyFill="1" applyBorder="1" applyAlignment="1">
      <alignment horizontal="right" vertical="center"/>
    </xf>
    <xf numFmtId="184" fontId="38" fillId="0" borderId="28" xfId="0" applyNumberFormat="1" applyFont="1" applyFill="1" applyBorder="1" applyAlignment="1">
      <alignment horizontal="right" vertical="center"/>
    </xf>
    <xf numFmtId="178" fontId="11" fillId="2" borderId="0" xfId="0" applyNumberFormat="1" applyFont="1" applyFill="1"/>
    <xf numFmtId="178" fontId="0" fillId="8" borderId="40" xfId="0" applyNumberFormat="1" applyFont="1" applyFill="1" applyBorder="1" applyAlignment="1" applyProtection="1">
      <alignment vertical="center"/>
    </xf>
    <xf numFmtId="178" fontId="0" fillId="8" borderId="60" xfId="0" applyNumberFormat="1" applyFont="1" applyFill="1" applyBorder="1" applyAlignment="1" applyProtection="1">
      <alignment vertical="center"/>
    </xf>
    <xf numFmtId="184" fontId="32" fillId="0" borderId="28" xfId="0" applyNumberFormat="1" applyFont="1" applyFill="1" applyBorder="1" applyAlignment="1">
      <alignment horizontal="right" vertical="center"/>
    </xf>
    <xf numFmtId="178" fontId="4" fillId="0" borderId="42" xfId="0" applyNumberFormat="1" applyFont="1" applyBorder="1" applyAlignment="1">
      <alignment horizontal="right" vertical="center"/>
    </xf>
    <xf numFmtId="178" fontId="4" fillId="0" borderId="59" xfId="0" applyNumberFormat="1" applyFont="1" applyFill="1" applyBorder="1" applyAlignment="1">
      <alignment horizontal="right" vertical="center"/>
    </xf>
    <xf numFmtId="181" fontId="4" fillId="0" borderId="59" xfId="0" applyNumberFormat="1" applyFont="1" applyFill="1" applyBorder="1" applyAlignment="1">
      <alignment horizontal="right" vertical="center"/>
    </xf>
    <xf numFmtId="178" fontId="0" fillId="8" borderId="40" xfId="0" applyNumberFormat="1" applyFont="1" applyFill="1" applyBorder="1" applyAlignment="1" applyProtection="1">
      <alignment horizontal="right" vertical="center"/>
    </xf>
    <xf numFmtId="0" fontId="0" fillId="0" borderId="25" xfId="0" applyFont="1" applyBorder="1" applyAlignment="1">
      <alignment horizontal="left" vertical="center" indent="2"/>
    </xf>
    <xf numFmtId="178" fontId="0" fillId="8" borderId="60" xfId="0" applyNumberFormat="1" applyFont="1" applyFill="1" applyBorder="1" applyAlignment="1" applyProtection="1">
      <alignment horizontal="right" vertical="center"/>
    </xf>
    <xf numFmtId="178" fontId="0" fillId="0" borderId="61" xfId="0" applyNumberFormat="1" applyFont="1" applyFill="1" applyBorder="1" applyAlignment="1">
      <alignment horizontal="right" vertical="center"/>
    </xf>
    <xf numFmtId="178" fontId="0" fillId="0" borderId="62" xfId="0" applyNumberFormat="1" applyFont="1" applyFill="1" applyBorder="1" applyAlignment="1">
      <alignment horizontal="right" vertical="center"/>
    </xf>
    <xf numFmtId="181" fontId="0" fillId="0" borderId="63" xfId="0" applyNumberFormat="1" applyFont="1" applyFill="1" applyBorder="1" applyAlignment="1">
      <alignment horizontal="right" vertical="center"/>
    </xf>
    <xf numFmtId="0" fontId="12" fillId="0" borderId="52" xfId="0" applyFont="1" applyFill="1" applyBorder="1" applyAlignment="1">
      <alignment vertical="center"/>
    </xf>
    <xf numFmtId="178" fontId="12" fillId="0" borderId="34" xfId="0" applyNumberFormat="1" applyFont="1" applyBorder="1" applyAlignment="1">
      <alignment horizontal="right" vertical="center"/>
    </xf>
    <xf numFmtId="178" fontId="12" fillId="0" borderId="53" xfId="0" applyNumberFormat="1" applyFont="1" applyFill="1" applyBorder="1" applyAlignment="1">
      <alignment horizontal="right" vertical="center"/>
    </xf>
    <xf numFmtId="184" fontId="12" fillId="0" borderId="5" xfId="0" applyNumberFormat="1" applyFont="1" applyFill="1" applyBorder="1" applyAlignment="1">
      <alignment horizontal="right" vertical="center"/>
    </xf>
    <xf numFmtId="181" fontId="12" fillId="0" borderId="57" xfId="0" applyNumberFormat="1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left" vertical="center" indent="1"/>
    </xf>
    <xf numFmtId="178" fontId="0" fillId="0" borderId="42" xfId="0" applyNumberFormat="1" applyFont="1" applyBorder="1" applyAlignment="1">
      <alignment horizontal="right" vertical="center"/>
    </xf>
    <xf numFmtId="0" fontId="0" fillId="0" borderId="54" xfId="0" applyFont="1" applyFill="1" applyBorder="1" applyAlignment="1">
      <alignment horizontal="left" vertical="center" indent="1"/>
    </xf>
    <xf numFmtId="178" fontId="0" fillId="0" borderId="44" xfId="0" applyNumberFormat="1" applyFont="1" applyBorder="1" applyAlignment="1">
      <alignment horizontal="right" vertical="center"/>
    </xf>
    <xf numFmtId="178" fontId="0" fillId="0" borderId="64" xfId="0" applyNumberFormat="1" applyFont="1" applyFill="1" applyBorder="1" applyAlignment="1">
      <alignment horizontal="right" vertical="center"/>
    </xf>
    <xf numFmtId="184" fontId="38" fillId="0" borderId="65" xfId="0" applyNumberFormat="1" applyFont="1" applyFill="1" applyBorder="1" applyAlignment="1">
      <alignment horizontal="right" vertical="center"/>
    </xf>
    <xf numFmtId="0" fontId="12" fillId="0" borderId="56" xfId="0" applyFont="1" applyFill="1" applyBorder="1" applyAlignment="1">
      <alignment vertical="center"/>
    </xf>
    <xf numFmtId="178" fontId="12" fillId="0" borderId="52" xfId="0" applyNumberFormat="1" applyFont="1" applyFill="1" applyBorder="1" applyAlignment="1">
      <alignment horizontal="right" vertical="center"/>
    </xf>
    <xf numFmtId="178" fontId="12" fillId="0" borderId="34" xfId="0" applyNumberFormat="1" applyFont="1" applyFill="1" applyBorder="1" applyAlignment="1">
      <alignment horizontal="right" vertical="center"/>
    </xf>
    <xf numFmtId="178" fontId="12" fillId="0" borderId="35" xfId="0" applyNumberFormat="1" applyFont="1" applyFill="1" applyBorder="1" applyAlignment="1">
      <alignment horizontal="right" vertical="center"/>
    </xf>
    <xf numFmtId="178" fontId="12" fillId="0" borderId="5" xfId="0" applyNumberFormat="1" applyFont="1" applyFill="1" applyBorder="1" applyAlignment="1">
      <alignment horizontal="right" vertical="center"/>
    </xf>
    <xf numFmtId="178" fontId="0" fillId="0" borderId="26" xfId="0" applyNumberFormat="1" applyFont="1" applyFill="1" applyBorder="1" applyAlignment="1">
      <alignment horizontal="right" vertical="center"/>
    </xf>
    <xf numFmtId="184" fontId="38" fillId="0" borderId="8" xfId="0" applyNumberFormat="1" applyFont="1" applyFill="1" applyBorder="1" applyAlignment="1">
      <alignment horizontal="right" vertical="center"/>
    </xf>
    <xf numFmtId="0" fontId="1" fillId="0" borderId="40" xfId="0" applyFont="1" applyFill="1" applyBorder="1" applyAlignment="1">
      <alignment horizontal="left" vertical="center" indent="1" shrinkToFit="1"/>
    </xf>
    <xf numFmtId="178" fontId="0" fillId="5" borderId="30" xfId="0" applyNumberFormat="1" applyFont="1" applyFill="1" applyBorder="1" applyAlignment="1">
      <alignment vertical="center"/>
    </xf>
    <xf numFmtId="0" fontId="1" fillId="0" borderId="42" xfId="0" applyFont="1" applyFill="1" applyBorder="1" applyAlignment="1">
      <alignment horizontal="left" vertical="center" indent="1" shrinkToFit="1"/>
    </xf>
    <xf numFmtId="178" fontId="0" fillId="5" borderId="64" xfId="0" applyNumberFormat="1" applyFont="1" applyFill="1" applyBorder="1" applyAlignment="1">
      <alignment vertical="center"/>
    </xf>
    <xf numFmtId="181" fontId="0" fillId="0" borderId="42" xfId="0" applyNumberFormat="1" applyFont="1" applyFill="1" applyBorder="1" applyAlignment="1">
      <alignment horizontal="right" vertical="center"/>
    </xf>
    <xf numFmtId="179" fontId="0" fillId="0" borderId="31" xfId="0" applyNumberFormat="1" applyFont="1" applyFill="1" applyBorder="1" applyAlignment="1">
      <alignment horizontal="right" vertical="center"/>
    </xf>
    <xf numFmtId="0" fontId="1" fillId="0" borderId="44" xfId="0" applyFont="1" applyFill="1" applyBorder="1" applyAlignment="1">
      <alignment horizontal="left" vertical="center" indent="1" shrinkToFit="1"/>
    </xf>
    <xf numFmtId="179" fontId="0" fillId="0" borderId="66" xfId="0" applyNumberFormat="1" applyFont="1" applyFill="1" applyBorder="1" applyAlignment="1">
      <alignment horizontal="right" vertical="center"/>
    </xf>
    <xf numFmtId="178" fontId="0" fillId="0" borderId="27" xfId="0" applyNumberFormat="1" applyFont="1" applyFill="1" applyBorder="1" applyAlignment="1">
      <alignment horizontal="right" vertical="center"/>
    </xf>
    <xf numFmtId="184" fontId="38" fillId="0" borderId="27" xfId="0" applyNumberFormat="1" applyFont="1" applyFill="1" applyBorder="1" applyAlignment="1">
      <alignment horizontal="right" vertical="center"/>
    </xf>
    <xf numFmtId="0" fontId="12" fillId="0" borderId="4" xfId="0" applyFont="1" applyFill="1" applyBorder="1" applyAlignment="1">
      <alignment vertical="center"/>
    </xf>
    <xf numFmtId="181" fontId="12" fillId="0" borderId="5" xfId="0" applyNumberFormat="1" applyFont="1" applyBorder="1" applyAlignment="1">
      <alignment horizontal="right" vertical="center"/>
    </xf>
    <xf numFmtId="181" fontId="12" fillId="0" borderId="5" xfId="0" applyNumberFormat="1" applyFont="1" applyFill="1" applyBorder="1" applyAlignment="1">
      <alignment horizontal="right" vertical="center"/>
    </xf>
    <xf numFmtId="181" fontId="0" fillId="0" borderId="6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 indent="1" shrinkToFit="1"/>
    </xf>
    <xf numFmtId="181" fontId="0" fillId="0" borderId="11" xfId="0" applyNumberFormat="1" applyFont="1" applyBorder="1" applyAlignment="1">
      <alignment horizontal="right" vertical="center"/>
    </xf>
    <xf numFmtId="181" fontId="0" fillId="0" borderId="11" xfId="0" applyNumberFormat="1" applyFont="1" applyFill="1" applyBorder="1" applyAlignment="1">
      <alignment horizontal="right" vertical="center"/>
    </xf>
    <xf numFmtId="184" fontId="38" fillId="0" borderId="11" xfId="0" applyNumberFormat="1" applyFont="1" applyFill="1" applyBorder="1" applyAlignment="1">
      <alignment horizontal="right" vertical="center"/>
    </xf>
    <xf numFmtId="0" fontId="74" fillId="2" borderId="0" xfId="0" applyNumberFormat="1" applyFont="1" applyFill="1" applyAlignment="1" applyProtection="1">
      <alignment horizontal="center" vertical="center"/>
    </xf>
    <xf numFmtId="0" fontId="74" fillId="0" borderId="0" xfId="0" applyFont="1" applyAlignment="1">
      <alignment horizontal="center"/>
    </xf>
    <xf numFmtId="0" fontId="74" fillId="0" borderId="0" xfId="0" applyFont="1"/>
    <xf numFmtId="0" fontId="74" fillId="0" borderId="0" xfId="0" applyFont="1" applyFill="1"/>
    <xf numFmtId="0" fontId="23" fillId="0" borderId="0" xfId="0" applyFont="1" applyFill="1" applyAlignment="1">
      <alignment horizontal="center" vertical="top"/>
    </xf>
    <xf numFmtId="0" fontId="23" fillId="0" borderId="0" xfId="0" applyFont="1" applyFill="1" applyAlignment="1">
      <alignment horizontal="center"/>
    </xf>
    <xf numFmtId="0" fontId="75" fillId="2" borderId="0" xfId="0" applyNumberFormat="1" applyFont="1" applyFill="1" applyAlignment="1" applyProtection="1">
      <alignment vertical="center"/>
    </xf>
    <xf numFmtId="0" fontId="23" fillId="2" borderId="0" xfId="0" applyNumberFormat="1" applyFont="1" applyFill="1" applyAlignment="1" applyProtection="1">
      <alignment horizontal="left" vertical="center"/>
    </xf>
    <xf numFmtId="0" fontId="76" fillId="0" borderId="0" xfId="0" applyNumberFormat="1" applyFont="1" applyFill="1" applyAlignment="1" applyProtection="1">
      <alignment vertical="center"/>
    </xf>
    <xf numFmtId="0" fontId="23" fillId="0" borderId="0" xfId="0" applyNumberFormat="1" applyFont="1" applyFill="1" applyAlignment="1" applyProtection="1">
      <alignment horizontal="left" vertical="center"/>
    </xf>
    <xf numFmtId="0" fontId="77" fillId="0" borderId="0" xfId="0" applyNumberFormat="1" applyFont="1" applyFill="1" applyAlignment="1" applyProtection="1">
      <alignment horizontal="right" vertical="center"/>
    </xf>
    <xf numFmtId="0" fontId="78" fillId="0" borderId="0" xfId="0" applyNumberFormat="1" applyFont="1" applyFill="1" applyAlignment="1" applyProtection="1">
      <alignment horizontal="left" vertical="center"/>
    </xf>
    <xf numFmtId="0" fontId="77" fillId="2" borderId="0" xfId="0" applyNumberFormat="1" applyFont="1" applyFill="1" applyAlignment="1" applyProtection="1">
      <alignment vertical="center"/>
    </xf>
    <xf numFmtId="0" fontId="77" fillId="0" borderId="0" xfId="0" applyFont="1" applyFill="1" applyAlignment="1">
      <alignment vertical="center"/>
    </xf>
    <xf numFmtId="0" fontId="77" fillId="0" borderId="0" xfId="0" applyFont="1" applyFill="1" applyAlignment="1">
      <alignment horizontal="left" vertical="center"/>
    </xf>
    <xf numFmtId="0" fontId="79" fillId="0" borderId="0" xfId="0" applyFont="1" applyAlignment="1">
      <alignment horizontal="center" vertical="center"/>
    </xf>
    <xf numFmtId="0" fontId="80" fillId="0" borderId="0" xfId="0" applyFont="1" applyFill="1"/>
    <xf numFmtId="0" fontId="80" fillId="0" borderId="0" xfId="0" applyFont="1"/>
  </cellXfs>
  <cellStyles count="6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_泉州市2017年地方国有资本经营预算表(县级)" xfId="49"/>
    <cellStyle name="常规 6" xfId="50"/>
    <cellStyle name="_ET_STYLE_NoName_00_" xfId="51"/>
    <cellStyle name="常规 76" xfId="52"/>
    <cellStyle name="常规_2004年预算报人大1.1 2 2" xfId="53"/>
    <cellStyle name="常规 49" xfId="54"/>
    <cellStyle name="常规 2 2" xfId="55"/>
    <cellStyle name="?鹎%U龡&amp;H齲_x0001_C铣_x0014__x0007__x0001__x0001_" xfId="56"/>
    <cellStyle name="?鹎%U龡&amp;H齲_x0001_C铣_x0014__x0007__x0001__x0001__附件2：泉州市2015年地方国有资本经营预算表( 定稿 )2014.12.10" xfId="57"/>
    <cellStyle name="Normal" xfId="58"/>
    <cellStyle name="常规 14" xfId="59"/>
    <cellStyle name="常规 2" xfId="60"/>
    <cellStyle name="常规 3" xfId="61"/>
    <cellStyle name="常规 5" xfId="62"/>
    <cellStyle name="常规_2004年预算报人大1.1" xfId="6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8" Type="http://schemas.openxmlformats.org/officeDocument/2006/relationships/sharedStrings" Target="sharedStrings.xml"/><Relationship Id="rId37" Type="http://schemas.openxmlformats.org/officeDocument/2006/relationships/styles" Target="styles.xml"/><Relationship Id="rId36" Type="http://schemas.openxmlformats.org/officeDocument/2006/relationships/theme" Target="theme/theme1.xml"/><Relationship Id="rId35" Type="http://schemas.openxmlformats.org/officeDocument/2006/relationships/externalLink" Target="externalLinks/externalLink3.xml"/><Relationship Id="rId34" Type="http://schemas.openxmlformats.org/officeDocument/2006/relationships/externalLink" Target="externalLinks/externalLink2.xml"/><Relationship Id="rId33" Type="http://schemas.openxmlformats.org/officeDocument/2006/relationships/externalLink" Target="externalLinks/externalLink1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38472;&#38125;\Desktop\2023-2024&#24180;&#25910;&#25903;&#39044;&#31639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zj\&#36130;&#25919;&#23616;&#20869;&#37096;&#19987;&#29992;\6.&#39044;&#31639;&#31185;\&#37073;&#33593;&#33464;\(1223&#25253;&#20154;&#22823;&#20250;&#65289;2022-2023&#24180;&#25910;&#25903;&#39044;&#31639;&#34920;&#65288;&#23450;&#31295;&#65289;-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封面"/>
      <sheetName val="总目录"/>
      <sheetName val="公共预算封面"/>
      <sheetName val="公共预算目录"/>
      <sheetName val="表一2023年收入预算（分单位）"/>
      <sheetName val="表二2023年公共预算支出表 "/>
      <sheetName val="表三2023年公共预算经济分类执行情况"/>
      <sheetName val="表四2023年收入预算"/>
      <sheetName val="表五2024年预算支出情况（项级）"/>
      <sheetName val="表六2023年一般公共预算经济分类支出表"/>
      <sheetName val="表七基本支出经济分类"/>
      <sheetName val="表八三保支出预算情况表 "/>
      <sheetName val="表九三保支出预算财力安排情况表 "/>
      <sheetName val="政府性基金预算封面"/>
      <sheetName val="基金目录"/>
      <sheetName val="表一2022年基金收入预算"/>
      <sheetName val="表二2022年基金支出预算"/>
      <sheetName val="表三2023年基金收入预算"/>
      <sheetName val="表四2023年基金支出预算"/>
      <sheetName val="2022国有资本经营预算封面"/>
      <sheetName val="2023国有资经营预算目录"/>
      <sheetName val="表一2023国有资本经营预算收支总表"/>
      <sheetName val="表二2023国有资本经营预算收入表"/>
      <sheetName val="表三2023国有资本经营预算支出表"/>
      <sheetName val="表四2023国有资本经营预算支出项目表"/>
      <sheetName val="表五2023年国有资本经营预算补充表"/>
      <sheetName val="社保基金封面"/>
      <sheetName val="社保基金目录"/>
      <sheetName val="表一预算总表"/>
      <sheetName val="表二居民养老保险"/>
      <sheetName val="表三机关事业社会养老保险基金预算表"/>
      <sheetName val="表四社保基金基础表"/>
    </sheetNames>
    <sheetDataSet>
      <sheetData sheetId="0"/>
      <sheetData sheetId="1"/>
      <sheetData sheetId="2"/>
      <sheetData sheetId="3"/>
      <sheetData sheetId="4">
        <row r="6">
          <cell r="C6">
            <v>720000</v>
          </cell>
          <cell r="D6">
            <v>491500</v>
          </cell>
        </row>
        <row r="7">
          <cell r="C7">
            <v>498300</v>
          </cell>
          <cell r="D7">
            <v>450500</v>
          </cell>
        </row>
        <row r="8">
          <cell r="C8">
            <v>245500</v>
          </cell>
          <cell r="D8">
            <v>206000</v>
          </cell>
        </row>
        <row r="9">
          <cell r="C9">
            <v>59000</v>
          </cell>
          <cell r="D9">
            <v>53000</v>
          </cell>
        </row>
        <row r="10">
          <cell r="C10">
            <v>33500</v>
          </cell>
          <cell r="D10">
            <v>31000</v>
          </cell>
        </row>
        <row r="11">
          <cell r="C11">
            <v>1300</v>
          </cell>
          <cell r="D11">
            <v>4200</v>
          </cell>
        </row>
        <row r="12">
          <cell r="C12">
            <v>22000</v>
          </cell>
          <cell r="D12">
            <v>24000</v>
          </cell>
        </row>
        <row r="13">
          <cell r="C13">
            <v>28000</v>
          </cell>
          <cell r="D13">
            <v>27000</v>
          </cell>
        </row>
        <row r="14">
          <cell r="C14">
            <v>10000</v>
          </cell>
          <cell r="D14">
            <v>8600</v>
          </cell>
        </row>
        <row r="15">
          <cell r="C15">
            <v>20000</v>
          </cell>
          <cell r="D15">
            <v>27000</v>
          </cell>
        </row>
        <row r="16">
          <cell r="C16">
            <v>39000</v>
          </cell>
          <cell r="D16">
            <v>35000</v>
          </cell>
        </row>
        <row r="17">
          <cell r="C17">
            <v>11000</v>
          </cell>
          <cell r="D17">
            <v>7500</v>
          </cell>
        </row>
        <row r="18">
          <cell r="C18">
            <v>3500</v>
          </cell>
          <cell r="D18">
            <v>10000</v>
          </cell>
        </row>
        <row r="19">
          <cell r="C19">
            <v>24000</v>
          </cell>
          <cell r="D19">
            <v>16000</v>
          </cell>
        </row>
        <row r="20">
          <cell r="C20">
            <v>1500</v>
          </cell>
          <cell r="D20">
            <v>1200</v>
          </cell>
        </row>
        <row r="23">
          <cell r="C23">
            <v>22200</v>
          </cell>
          <cell r="D23">
            <v>21000</v>
          </cell>
        </row>
        <row r="24">
          <cell r="C24">
            <v>12500</v>
          </cell>
          <cell r="D24">
            <v>7500</v>
          </cell>
        </row>
        <row r="25">
          <cell r="C25">
            <v>32000</v>
          </cell>
          <cell r="D25">
            <v>8000</v>
          </cell>
        </row>
        <row r="26">
          <cell r="C26">
            <v>155000</v>
          </cell>
          <cell r="D26">
            <v>4500</v>
          </cell>
        </row>
        <row r="28">
          <cell r="C28">
            <v>245500</v>
          </cell>
          <cell r="D28">
            <v>206000</v>
          </cell>
        </row>
        <row r="29">
          <cell r="C29">
            <v>1000</v>
          </cell>
          <cell r="D29">
            <v>900</v>
          </cell>
        </row>
        <row r="30">
          <cell r="C30">
            <v>88500</v>
          </cell>
          <cell r="D30">
            <v>79500</v>
          </cell>
        </row>
        <row r="31">
          <cell r="C31">
            <v>50250</v>
          </cell>
          <cell r="D31">
            <v>46500</v>
          </cell>
        </row>
        <row r="32">
          <cell r="C32">
            <v>24750</v>
          </cell>
          <cell r="D32">
            <v>30200</v>
          </cell>
        </row>
        <row r="34">
          <cell r="C34">
            <v>968300</v>
          </cell>
          <cell r="D34">
            <v>813600</v>
          </cell>
        </row>
        <row r="35">
          <cell r="C35">
            <v>221700</v>
          </cell>
          <cell r="D35">
            <v>41000</v>
          </cell>
        </row>
        <row r="36">
          <cell r="C36">
            <v>-60000</v>
          </cell>
        </row>
        <row r="41">
          <cell r="C41">
            <v>69.2083333333333</v>
          </cell>
          <cell r="D41">
            <v>91.6581892166836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 (2)"/>
      <sheetName val="Sheet1"/>
      <sheetName val="Sheet2"/>
      <sheetName val="Sheet3"/>
    </sheetNames>
    <sheetDataSet>
      <sheetData sheetId="0">
        <row r="1">
          <cell r="H1">
            <v>227</v>
          </cell>
          <cell r="I1">
            <v>13000</v>
          </cell>
        </row>
        <row r="2">
          <cell r="H2">
            <v>21211</v>
          </cell>
          <cell r="I2">
            <v>0</v>
          </cell>
        </row>
        <row r="3">
          <cell r="H3">
            <v>2010101</v>
          </cell>
          <cell r="I3">
            <v>716.64</v>
          </cell>
        </row>
        <row r="4">
          <cell r="H4">
            <v>2010102</v>
          </cell>
          <cell r="I4">
            <v>176.99</v>
          </cell>
        </row>
        <row r="5">
          <cell r="H5">
            <v>2010104</v>
          </cell>
          <cell r="I5">
            <v>185</v>
          </cell>
        </row>
        <row r="6">
          <cell r="H6">
            <v>2010107</v>
          </cell>
          <cell r="I6">
            <v>90</v>
          </cell>
        </row>
        <row r="7">
          <cell r="H7">
            <v>2010108</v>
          </cell>
          <cell r="I7">
            <v>10</v>
          </cell>
        </row>
        <row r="8">
          <cell r="H8">
            <v>2010150</v>
          </cell>
          <cell r="I8">
            <v>118.65</v>
          </cell>
        </row>
        <row r="9">
          <cell r="H9">
            <v>2010201</v>
          </cell>
          <cell r="I9">
            <v>528.99</v>
          </cell>
        </row>
        <row r="10">
          <cell r="H10">
            <v>2010202</v>
          </cell>
          <cell r="I10">
            <v>67.72</v>
          </cell>
        </row>
        <row r="11">
          <cell r="H11">
            <v>2010204</v>
          </cell>
          <cell r="I11">
            <v>148</v>
          </cell>
        </row>
        <row r="12">
          <cell r="H12">
            <v>2010205</v>
          </cell>
          <cell r="I12">
            <v>75.6</v>
          </cell>
        </row>
        <row r="13">
          <cell r="H13">
            <v>2010250</v>
          </cell>
          <cell r="I13">
            <v>73.03</v>
          </cell>
        </row>
        <row r="14">
          <cell r="H14">
            <v>2010301</v>
          </cell>
          <cell r="I14">
            <v>17203.91</v>
          </cell>
        </row>
        <row r="15">
          <cell r="H15">
            <v>2010302</v>
          </cell>
          <cell r="I15">
            <v>2359.58</v>
          </cell>
        </row>
        <row r="16">
          <cell r="H16">
            <v>2010350</v>
          </cell>
          <cell r="I16">
            <v>524.56</v>
          </cell>
        </row>
        <row r="17">
          <cell r="H17">
            <v>2010399</v>
          </cell>
          <cell r="I17">
            <v>2223.31</v>
          </cell>
        </row>
        <row r="18">
          <cell r="H18">
            <v>2010401</v>
          </cell>
          <cell r="I18">
            <v>317.25</v>
          </cell>
        </row>
        <row r="19">
          <cell r="H19">
            <v>2010402</v>
          </cell>
          <cell r="I19">
            <v>247.28</v>
          </cell>
        </row>
        <row r="20">
          <cell r="H20">
            <v>2010408</v>
          </cell>
          <cell r="I20">
            <v>0</v>
          </cell>
        </row>
        <row r="21">
          <cell r="H21">
            <v>2010450</v>
          </cell>
          <cell r="I21">
            <v>567.18</v>
          </cell>
        </row>
        <row r="22">
          <cell r="H22">
            <v>2010501</v>
          </cell>
          <cell r="I22">
            <v>377.14</v>
          </cell>
        </row>
        <row r="23">
          <cell r="H23">
            <v>2010502</v>
          </cell>
          <cell r="I23">
            <v>404.38</v>
          </cell>
        </row>
        <row r="24">
          <cell r="H24">
            <v>2010507</v>
          </cell>
          <cell r="I24">
            <v>0</v>
          </cell>
        </row>
        <row r="25">
          <cell r="H25">
            <v>2010550</v>
          </cell>
          <cell r="I25">
            <v>330.6</v>
          </cell>
        </row>
        <row r="26">
          <cell r="H26">
            <v>2010601</v>
          </cell>
          <cell r="I26">
            <v>1004.14</v>
          </cell>
        </row>
        <row r="27">
          <cell r="H27">
            <v>2010602</v>
          </cell>
          <cell r="I27">
            <v>303.6</v>
          </cell>
        </row>
        <row r="28">
          <cell r="H28">
            <v>2010605</v>
          </cell>
          <cell r="I28">
            <v>110</v>
          </cell>
        </row>
        <row r="29">
          <cell r="H29">
            <v>2010607</v>
          </cell>
          <cell r="I29">
            <v>45</v>
          </cell>
        </row>
        <row r="30">
          <cell r="H30">
            <v>2010650</v>
          </cell>
          <cell r="I30">
            <v>1109.27</v>
          </cell>
        </row>
        <row r="31">
          <cell r="H31">
            <v>2010699</v>
          </cell>
          <cell r="I31">
            <v>60</v>
          </cell>
        </row>
        <row r="32">
          <cell r="H32">
            <v>2010710</v>
          </cell>
          <cell r="I32">
            <v>3700</v>
          </cell>
        </row>
        <row r="33">
          <cell r="H33">
            <v>2010801</v>
          </cell>
          <cell r="I33">
            <v>395.37</v>
          </cell>
        </row>
        <row r="34">
          <cell r="H34">
            <v>2010804</v>
          </cell>
          <cell r="I34">
            <v>71.41</v>
          </cell>
        </row>
        <row r="35">
          <cell r="H35">
            <v>2010850</v>
          </cell>
          <cell r="I35">
            <v>357.65</v>
          </cell>
        </row>
        <row r="36">
          <cell r="H36">
            <v>2010899</v>
          </cell>
          <cell r="I36">
            <v>0</v>
          </cell>
        </row>
        <row r="37">
          <cell r="H37">
            <v>2011101</v>
          </cell>
          <cell r="I37">
            <v>2551.96</v>
          </cell>
        </row>
        <row r="38">
          <cell r="H38">
            <v>2011102</v>
          </cell>
          <cell r="I38">
            <v>642.14</v>
          </cell>
        </row>
        <row r="39">
          <cell r="H39">
            <v>2011150</v>
          </cell>
          <cell r="I39">
            <v>786.85</v>
          </cell>
        </row>
        <row r="40">
          <cell r="H40">
            <v>2011301</v>
          </cell>
          <cell r="I40">
            <v>348.82</v>
          </cell>
        </row>
        <row r="41">
          <cell r="H41">
            <v>2011302</v>
          </cell>
          <cell r="I41">
            <v>261.315</v>
          </cell>
        </row>
        <row r="42">
          <cell r="H42">
            <v>2011350</v>
          </cell>
          <cell r="I42">
            <v>283.38</v>
          </cell>
        </row>
        <row r="43">
          <cell r="H43">
            <v>2012501</v>
          </cell>
          <cell r="I43">
            <v>175.18</v>
          </cell>
        </row>
        <row r="44">
          <cell r="H44">
            <v>2012505</v>
          </cell>
          <cell r="I44">
            <v>27.95</v>
          </cell>
        </row>
        <row r="45">
          <cell r="H45">
            <v>2012550</v>
          </cell>
          <cell r="I45">
            <v>50.6</v>
          </cell>
        </row>
        <row r="46">
          <cell r="H46">
            <v>2012601</v>
          </cell>
          <cell r="I46">
            <v>273.57</v>
          </cell>
        </row>
        <row r="47">
          <cell r="H47">
            <v>2012604</v>
          </cell>
          <cell r="I47">
            <v>22.65</v>
          </cell>
        </row>
        <row r="48">
          <cell r="H48">
            <v>2012801</v>
          </cell>
          <cell r="I48">
            <v>276.32</v>
          </cell>
        </row>
        <row r="49">
          <cell r="H49">
            <v>2012802</v>
          </cell>
          <cell r="I49">
            <v>91.32</v>
          </cell>
        </row>
        <row r="50">
          <cell r="H50">
            <v>2012901</v>
          </cell>
          <cell r="I50">
            <v>760.43</v>
          </cell>
        </row>
        <row r="51">
          <cell r="H51">
            <v>2012902</v>
          </cell>
          <cell r="I51">
            <v>698.67</v>
          </cell>
        </row>
        <row r="52">
          <cell r="H52">
            <v>2012950</v>
          </cell>
          <cell r="I52">
            <v>349.79</v>
          </cell>
        </row>
        <row r="53">
          <cell r="H53">
            <v>2012999</v>
          </cell>
          <cell r="I53">
            <v>0</v>
          </cell>
        </row>
        <row r="54">
          <cell r="H54">
            <v>2013101</v>
          </cell>
          <cell r="I54">
            <v>1721.26</v>
          </cell>
        </row>
        <row r="55">
          <cell r="H55">
            <v>2013102</v>
          </cell>
          <cell r="I55">
            <v>1647.04</v>
          </cell>
        </row>
        <row r="56">
          <cell r="H56">
            <v>2013150</v>
          </cell>
          <cell r="I56">
            <v>331.37</v>
          </cell>
        </row>
        <row r="57">
          <cell r="H57">
            <v>2013201</v>
          </cell>
          <cell r="I57">
            <v>804.59</v>
          </cell>
        </row>
        <row r="58">
          <cell r="H58">
            <v>2013202</v>
          </cell>
          <cell r="I58">
            <v>463.37</v>
          </cell>
        </row>
        <row r="59">
          <cell r="H59">
            <v>2013250</v>
          </cell>
          <cell r="I59">
            <v>86.11</v>
          </cell>
        </row>
        <row r="60">
          <cell r="H60">
            <v>2013301</v>
          </cell>
          <cell r="I60">
            <v>599.1</v>
          </cell>
        </row>
        <row r="61">
          <cell r="H61">
            <v>2013302</v>
          </cell>
          <cell r="I61">
            <v>410.23</v>
          </cell>
        </row>
        <row r="62">
          <cell r="H62">
            <v>2013350</v>
          </cell>
          <cell r="I62">
            <v>205.71</v>
          </cell>
        </row>
        <row r="63">
          <cell r="H63">
            <v>2013401</v>
          </cell>
          <cell r="I63">
            <v>505.73</v>
          </cell>
        </row>
        <row r="64">
          <cell r="H64">
            <v>2013402</v>
          </cell>
          <cell r="I64">
            <v>277.01</v>
          </cell>
        </row>
        <row r="65">
          <cell r="H65">
            <v>2013405</v>
          </cell>
          <cell r="I65">
            <v>95.49</v>
          </cell>
        </row>
        <row r="66">
          <cell r="H66">
            <v>2013450</v>
          </cell>
          <cell r="I66">
            <v>101.33</v>
          </cell>
        </row>
        <row r="67">
          <cell r="H67">
            <v>2013801</v>
          </cell>
          <cell r="I67">
            <v>4410.68</v>
          </cell>
        </row>
        <row r="68">
          <cell r="H68">
            <v>2013802</v>
          </cell>
          <cell r="I68">
            <v>1857</v>
          </cell>
        </row>
        <row r="69">
          <cell r="H69">
            <v>2013850</v>
          </cell>
          <cell r="I69">
            <v>1839.45</v>
          </cell>
        </row>
        <row r="70">
          <cell r="H70">
            <v>2014001</v>
          </cell>
          <cell r="I70">
            <v>142.24</v>
          </cell>
        </row>
        <row r="71">
          <cell r="H71">
            <v>2014002</v>
          </cell>
          <cell r="I71">
            <v>3.04</v>
          </cell>
        </row>
        <row r="72">
          <cell r="H72">
            <v>2014004</v>
          </cell>
          <cell r="I72">
            <v>45</v>
          </cell>
        </row>
        <row r="73">
          <cell r="H73">
            <v>2014099</v>
          </cell>
          <cell r="I73">
            <v>137.21</v>
          </cell>
        </row>
        <row r="74">
          <cell r="H74">
            <v>2019999</v>
          </cell>
          <cell r="I74">
            <v>1042.91</v>
          </cell>
        </row>
        <row r="75">
          <cell r="H75">
            <v>2030102</v>
          </cell>
          <cell r="I75">
            <v>352.43</v>
          </cell>
        </row>
        <row r="76">
          <cell r="H76">
            <v>2030607</v>
          </cell>
          <cell r="I76">
            <v>288.58</v>
          </cell>
        </row>
        <row r="77">
          <cell r="H77">
            <v>2040201</v>
          </cell>
          <cell r="I77">
            <v>29856.37</v>
          </cell>
        </row>
        <row r="78">
          <cell r="H78">
            <v>2040202</v>
          </cell>
          <cell r="I78">
            <v>10705.5</v>
          </cell>
        </row>
        <row r="79">
          <cell r="H79">
            <v>2040219</v>
          </cell>
          <cell r="I79">
            <v>610</v>
          </cell>
        </row>
        <row r="80">
          <cell r="H80">
            <v>2040220</v>
          </cell>
          <cell r="I80">
            <v>5820</v>
          </cell>
        </row>
        <row r="81">
          <cell r="H81">
            <v>2040299</v>
          </cell>
          <cell r="I81">
            <v>2123</v>
          </cell>
        </row>
        <row r="82">
          <cell r="H82">
            <v>2040302</v>
          </cell>
          <cell r="I82">
            <v>56</v>
          </cell>
        </row>
        <row r="83">
          <cell r="H83">
            <v>2040601</v>
          </cell>
          <cell r="I83">
            <v>1946.75</v>
          </cell>
        </row>
        <row r="84">
          <cell r="H84">
            <v>2040602</v>
          </cell>
          <cell r="I84">
            <v>345.23</v>
          </cell>
        </row>
        <row r="85">
          <cell r="H85">
            <v>2040605</v>
          </cell>
          <cell r="I85">
            <v>154</v>
          </cell>
        </row>
        <row r="86">
          <cell r="H86">
            <v>2040607</v>
          </cell>
          <cell r="I86">
            <v>0</v>
          </cell>
        </row>
        <row r="87">
          <cell r="H87">
            <v>2040610</v>
          </cell>
          <cell r="I87">
            <v>220</v>
          </cell>
        </row>
        <row r="88">
          <cell r="H88">
            <v>2040650</v>
          </cell>
          <cell r="I88">
            <v>316</v>
          </cell>
        </row>
        <row r="89">
          <cell r="H89">
            <v>2040699</v>
          </cell>
          <cell r="I89">
            <v>16.8</v>
          </cell>
        </row>
        <row r="90">
          <cell r="H90">
            <v>2050101</v>
          </cell>
          <cell r="I90">
            <v>325.47</v>
          </cell>
        </row>
        <row r="91">
          <cell r="H91">
            <v>2050102</v>
          </cell>
          <cell r="I91">
            <v>116</v>
          </cell>
        </row>
        <row r="92">
          <cell r="H92">
            <v>2050199</v>
          </cell>
          <cell r="I92">
            <v>1146.33</v>
          </cell>
        </row>
        <row r="93">
          <cell r="H93">
            <v>2050201</v>
          </cell>
          <cell r="I93">
            <v>5738.61</v>
          </cell>
        </row>
        <row r="94">
          <cell r="H94">
            <v>2050202</v>
          </cell>
          <cell r="I94">
            <v>122440.73</v>
          </cell>
        </row>
        <row r="95">
          <cell r="H95">
            <v>2050203</v>
          </cell>
          <cell r="I95">
            <v>47501.2</v>
          </cell>
        </row>
        <row r="96">
          <cell r="H96">
            <v>2050204</v>
          </cell>
          <cell r="I96">
            <v>73676.07</v>
          </cell>
        </row>
        <row r="97">
          <cell r="H97">
            <v>2050299</v>
          </cell>
          <cell r="I97">
            <v>3506.39</v>
          </cell>
        </row>
        <row r="98">
          <cell r="H98">
            <v>2050302</v>
          </cell>
          <cell r="I98">
            <v>7414.81</v>
          </cell>
        </row>
        <row r="99">
          <cell r="H99">
            <v>2050501</v>
          </cell>
          <cell r="I99">
            <v>407.33</v>
          </cell>
        </row>
        <row r="100">
          <cell r="H100">
            <v>2050701</v>
          </cell>
          <cell r="I100">
            <v>1642.26</v>
          </cell>
        </row>
        <row r="101">
          <cell r="H101">
            <v>2050799</v>
          </cell>
          <cell r="I101">
            <v>442.91</v>
          </cell>
        </row>
        <row r="102">
          <cell r="H102">
            <v>2050801</v>
          </cell>
          <cell r="I102">
            <v>1224.52</v>
          </cell>
        </row>
        <row r="103">
          <cell r="H103">
            <v>2050802</v>
          </cell>
          <cell r="I103">
            <v>592.8</v>
          </cell>
        </row>
        <row r="104">
          <cell r="H104">
            <v>2050999</v>
          </cell>
          <cell r="I104">
            <v>6779.03</v>
          </cell>
        </row>
        <row r="105">
          <cell r="H105">
            <v>2059999</v>
          </cell>
          <cell r="I105">
            <v>18411.04</v>
          </cell>
        </row>
        <row r="106">
          <cell r="H106">
            <v>2060101</v>
          </cell>
          <cell r="I106">
            <v>182.8</v>
          </cell>
        </row>
        <row r="107">
          <cell r="H107">
            <v>2060102</v>
          </cell>
          <cell r="I107">
            <v>54.94</v>
          </cell>
        </row>
        <row r="108">
          <cell r="H108">
            <v>2060401</v>
          </cell>
          <cell r="I108">
            <v>219.07</v>
          </cell>
        </row>
        <row r="109">
          <cell r="H109">
            <v>2060404</v>
          </cell>
          <cell r="I109">
            <v>2675</v>
          </cell>
        </row>
        <row r="110">
          <cell r="H110">
            <v>2060502</v>
          </cell>
          <cell r="I110">
            <v>134</v>
          </cell>
        </row>
        <row r="111">
          <cell r="H111">
            <v>2060701</v>
          </cell>
          <cell r="I111">
            <v>187.13</v>
          </cell>
        </row>
        <row r="112">
          <cell r="H112">
            <v>2060702</v>
          </cell>
          <cell r="I112">
            <v>339.59</v>
          </cell>
        </row>
        <row r="113">
          <cell r="H113">
            <v>2069999</v>
          </cell>
          <cell r="I113">
            <v>15000</v>
          </cell>
        </row>
        <row r="114">
          <cell r="H114">
            <v>2070101</v>
          </cell>
          <cell r="I114">
            <v>509.49</v>
          </cell>
        </row>
        <row r="115">
          <cell r="H115">
            <v>2070102</v>
          </cell>
          <cell r="I115">
            <v>116.14</v>
          </cell>
        </row>
        <row r="116">
          <cell r="H116">
            <v>2070104</v>
          </cell>
          <cell r="I116">
            <v>443.4</v>
          </cell>
        </row>
        <row r="117">
          <cell r="H117">
            <v>2070108</v>
          </cell>
          <cell r="I117">
            <v>121</v>
          </cell>
        </row>
        <row r="118">
          <cell r="H118">
            <v>2070109</v>
          </cell>
          <cell r="I118">
            <v>501.63</v>
          </cell>
        </row>
        <row r="119">
          <cell r="H119">
            <v>2070111</v>
          </cell>
          <cell r="I119">
            <v>20</v>
          </cell>
        </row>
        <row r="120">
          <cell r="H120">
            <v>2070199</v>
          </cell>
          <cell r="I120">
            <v>963.66</v>
          </cell>
        </row>
        <row r="121">
          <cell r="H121">
            <v>2070204</v>
          </cell>
          <cell r="I121">
            <v>310</v>
          </cell>
        </row>
        <row r="122">
          <cell r="H122">
            <v>2070205</v>
          </cell>
          <cell r="I122">
            <v>389.96</v>
          </cell>
        </row>
        <row r="123">
          <cell r="H123">
            <v>2070206</v>
          </cell>
          <cell r="I123">
            <v>129.7</v>
          </cell>
        </row>
        <row r="124">
          <cell r="H124">
            <v>2070308</v>
          </cell>
          <cell r="I124">
            <v>999.01</v>
          </cell>
        </row>
        <row r="125">
          <cell r="H125">
            <v>2070399</v>
          </cell>
          <cell r="I125">
            <v>154</v>
          </cell>
        </row>
        <row r="126">
          <cell r="H126">
            <v>2070802</v>
          </cell>
          <cell r="I126">
            <v>95.91</v>
          </cell>
        </row>
        <row r="127">
          <cell r="H127">
            <v>2070899</v>
          </cell>
          <cell r="I127">
            <v>1367.99</v>
          </cell>
        </row>
        <row r="128">
          <cell r="H128">
            <v>2079903</v>
          </cell>
          <cell r="I128">
            <v>3000</v>
          </cell>
        </row>
        <row r="129">
          <cell r="H129">
            <v>2080101</v>
          </cell>
          <cell r="I129">
            <v>420.25</v>
          </cell>
        </row>
        <row r="130">
          <cell r="H130">
            <v>2080102</v>
          </cell>
          <cell r="I130">
            <v>219.1</v>
          </cell>
        </row>
        <row r="131">
          <cell r="H131">
            <v>2080109</v>
          </cell>
          <cell r="I131">
            <v>62</v>
          </cell>
        </row>
        <row r="132">
          <cell r="H132">
            <v>2080116</v>
          </cell>
          <cell r="I132">
            <v>5000</v>
          </cell>
        </row>
        <row r="133">
          <cell r="H133">
            <v>2080150</v>
          </cell>
          <cell r="I133">
            <v>1361.16</v>
          </cell>
        </row>
        <row r="134">
          <cell r="H134">
            <v>2080199</v>
          </cell>
          <cell r="I134">
            <v>810.04</v>
          </cell>
        </row>
        <row r="135">
          <cell r="H135">
            <v>2080201</v>
          </cell>
          <cell r="I135">
            <v>311.64</v>
          </cell>
        </row>
        <row r="136">
          <cell r="H136">
            <v>2080202</v>
          </cell>
          <cell r="I136">
            <v>89</v>
          </cell>
        </row>
        <row r="137">
          <cell r="H137">
            <v>2080206</v>
          </cell>
          <cell r="I137">
            <v>8</v>
          </cell>
        </row>
        <row r="138">
          <cell r="H138">
            <v>2080207</v>
          </cell>
          <cell r="I138">
            <v>5</v>
          </cell>
        </row>
        <row r="139">
          <cell r="H139">
            <v>2080208</v>
          </cell>
          <cell r="I139">
            <v>0</v>
          </cell>
        </row>
        <row r="140">
          <cell r="H140">
            <v>2080299</v>
          </cell>
          <cell r="I140">
            <v>770.26</v>
          </cell>
        </row>
        <row r="141">
          <cell r="H141">
            <v>2080501</v>
          </cell>
          <cell r="I141">
            <v>5396.31</v>
          </cell>
        </row>
        <row r="142">
          <cell r="H142">
            <v>2080502</v>
          </cell>
          <cell r="I142">
            <v>16264.6736</v>
          </cell>
        </row>
        <row r="143">
          <cell r="H143">
            <v>2080505</v>
          </cell>
          <cell r="I143">
            <v>41177.951</v>
          </cell>
        </row>
        <row r="144">
          <cell r="H144">
            <v>2080599</v>
          </cell>
          <cell r="I144">
            <v>7436.9</v>
          </cell>
        </row>
        <row r="145">
          <cell r="H145">
            <v>2080799</v>
          </cell>
          <cell r="I145">
            <v>989.35</v>
          </cell>
        </row>
        <row r="146">
          <cell r="H146">
            <v>2080801</v>
          </cell>
          <cell r="I146">
            <v>1400</v>
          </cell>
        </row>
        <row r="147">
          <cell r="H147">
            <v>2080805</v>
          </cell>
          <cell r="I147">
            <v>2586</v>
          </cell>
        </row>
        <row r="148">
          <cell r="H148">
            <v>2080899</v>
          </cell>
          <cell r="I148">
            <v>2184</v>
          </cell>
        </row>
        <row r="149">
          <cell r="H149">
            <v>2080901</v>
          </cell>
          <cell r="I149">
            <v>2870</v>
          </cell>
        </row>
        <row r="150">
          <cell r="H150">
            <v>2080902</v>
          </cell>
          <cell r="I150">
            <v>25</v>
          </cell>
        </row>
        <row r="151">
          <cell r="H151">
            <v>2080905</v>
          </cell>
          <cell r="I151">
            <v>66.28</v>
          </cell>
        </row>
        <row r="152">
          <cell r="H152">
            <v>2080999</v>
          </cell>
          <cell r="I152">
            <v>0</v>
          </cell>
        </row>
        <row r="153">
          <cell r="H153">
            <v>2081001</v>
          </cell>
          <cell r="I153">
            <v>485.86</v>
          </cell>
        </row>
        <row r="154">
          <cell r="H154">
            <v>2081002</v>
          </cell>
          <cell r="I154">
            <v>381.8</v>
          </cell>
        </row>
        <row r="155">
          <cell r="H155">
            <v>2081004</v>
          </cell>
          <cell r="I155">
            <v>5</v>
          </cell>
        </row>
        <row r="156">
          <cell r="H156">
            <v>2081005</v>
          </cell>
          <cell r="I156">
            <v>78</v>
          </cell>
        </row>
        <row r="157">
          <cell r="H157">
            <v>2081006</v>
          </cell>
          <cell r="I157">
            <v>402.2</v>
          </cell>
        </row>
        <row r="158">
          <cell r="H158">
            <v>2081099</v>
          </cell>
          <cell r="I158">
            <v>222</v>
          </cell>
        </row>
        <row r="159">
          <cell r="H159">
            <v>2081101</v>
          </cell>
          <cell r="I159">
            <v>150.71</v>
          </cell>
        </row>
        <row r="160">
          <cell r="H160">
            <v>2081102</v>
          </cell>
          <cell r="I160">
            <v>112</v>
          </cell>
        </row>
        <row r="161">
          <cell r="H161">
            <v>2081104</v>
          </cell>
          <cell r="I161">
            <v>390</v>
          </cell>
        </row>
        <row r="162">
          <cell r="H162">
            <v>2081105</v>
          </cell>
          <cell r="I162">
            <v>30</v>
          </cell>
        </row>
        <row r="163">
          <cell r="H163">
            <v>2081107</v>
          </cell>
          <cell r="I163">
            <v>1190</v>
          </cell>
        </row>
        <row r="164">
          <cell r="H164">
            <v>2081199</v>
          </cell>
          <cell r="I164">
            <v>680.83</v>
          </cell>
        </row>
        <row r="165">
          <cell r="H165">
            <v>2081601</v>
          </cell>
          <cell r="I165">
            <v>86.32</v>
          </cell>
        </row>
        <row r="166">
          <cell r="H166">
            <v>2081602</v>
          </cell>
          <cell r="I166">
            <v>35</v>
          </cell>
        </row>
        <row r="167">
          <cell r="H167">
            <v>2081901</v>
          </cell>
          <cell r="I167">
            <v>90</v>
          </cell>
        </row>
        <row r="168">
          <cell r="H168">
            <v>2081902</v>
          </cell>
          <cell r="I168">
            <v>5631</v>
          </cell>
        </row>
        <row r="169">
          <cell r="H169">
            <v>2082001</v>
          </cell>
          <cell r="I169">
            <v>533.44</v>
          </cell>
        </row>
        <row r="170">
          <cell r="H170">
            <v>2082002</v>
          </cell>
          <cell r="I170">
            <v>20</v>
          </cell>
        </row>
        <row r="171">
          <cell r="H171">
            <v>2082101</v>
          </cell>
          <cell r="I171">
            <v>56</v>
          </cell>
        </row>
        <row r="172">
          <cell r="H172">
            <v>2082102</v>
          </cell>
          <cell r="I172">
            <v>1141</v>
          </cell>
        </row>
        <row r="173">
          <cell r="H173">
            <v>2082502</v>
          </cell>
          <cell r="I173">
            <v>173.4</v>
          </cell>
        </row>
        <row r="174">
          <cell r="H174">
            <v>2082601</v>
          </cell>
          <cell r="I174">
            <v>203.2</v>
          </cell>
        </row>
        <row r="175">
          <cell r="H175">
            <v>2082602</v>
          </cell>
          <cell r="I175">
            <v>22000</v>
          </cell>
        </row>
        <row r="176">
          <cell r="H176">
            <v>2082801</v>
          </cell>
          <cell r="I176">
            <v>228.61</v>
          </cell>
        </row>
        <row r="177">
          <cell r="H177">
            <v>2082802</v>
          </cell>
          <cell r="I177">
            <v>57</v>
          </cell>
        </row>
        <row r="178">
          <cell r="H178">
            <v>2082804</v>
          </cell>
          <cell r="I178">
            <v>100</v>
          </cell>
        </row>
        <row r="179">
          <cell r="H179">
            <v>2082850</v>
          </cell>
          <cell r="I179">
            <v>197.7</v>
          </cell>
        </row>
        <row r="180">
          <cell r="H180">
            <v>2082899</v>
          </cell>
          <cell r="I180">
            <v>14.5</v>
          </cell>
        </row>
        <row r="181">
          <cell r="H181">
            <v>2089999</v>
          </cell>
          <cell r="I181">
            <v>1418</v>
          </cell>
        </row>
        <row r="182">
          <cell r="H182">
            <v>2100101</v>
          </cell>
          <cell r="I182">
            <v>686.48</v>
          </cell>
        </row>
        <row r="183">
          <cell r="H183">
            <v>2100102</v>
          </cell>
          <cell r="I183">
            <v>119.5</v>
          </cell>
        </row>
        <row r="184">
          <cell r="H184">
            <v>2100199</v>
          </cell>
          <cell r="I184">
            <v>460.67</v>
          </cell>
        </row>
        <row r="185">
          <cell r="H185">
            <v>2100201</v>
          </cell>
          <cell r="I185">
            <v>2518.4</v>
          </cell>
        </row>
        <row r="186">
          <cell r="H186">
            <v>2100202</v>
          </cell>
          <cell r="I186">
            <v>602</v>
          </cell>
        </row>
        <row r="187">
          <cell r="H187">
            <v>2100205</v>
          </cell>
          <cell r="I187">
            <v>1651.58</v>
          </cell>
        </row>
        <row r="188">
          <cell r="H188">
            <v>2100206</v>
          </cell>
          <cell r="I188">
            <v>1247.91</v>
          </cell>
        </row>
        <row r="189">
          <cell r="H189">
            <v>2100299</v>
          </cell>
          <cell r="I189">
            <v>0</v>
          </cell>
        </row>
        <row r="190">
          <cell r="H190">
            <v>2100301</v>
          </cell>
          <cell r="I190">
            <v>681.7399</v>
          </cell>
        </row>
        <row r="191">
          <cell r="H191">
            <v>2100302</v>
          </cell>
          <cell r="I191">
            <v>9388.8886</v>
          </cell>
        </row>
        <row r="192">
          <cell r="H192">
            <v>2100399</v>
          </cell>
          <cell r="I192">
            <v>30</v>
          </cell>
        </row>
        <row r="193">
          <cell r="H193">
            <v>2100401</v>
          </cell>
          <cell r="I193">
            <v>2007.7</v>
          </cell>
        </row>
        <row r="194">
          <cell r="H194">
            <v>2100402</v>
          </cell>
          <cell r="I194">
            <v>403.24</v>
          </cell>
        </row>
        <row r="195">
          <cell r="H195">
            <v>2100408</v>
          </cell>
          <cell r="I195">
            <v>4752.3</v>
          </cell>
        </row>
        <row r="196">
          <cell r="H196">
            <v>2100410</v>
          </cell>
          <cell r="I196">
            <v>300</v>
          </cell>
        </row>
        <row r="197">
          <cell r="H197">
            <v>2100499</v>
          </cell>
          <cell r="I197">
            <v>272</v>
          </cell>
        </row>
        <row r="198">
          <cell r="H198">
            <v>2100716</v>
          </cell>
          <cell r="I198">
            <v>143.14</v>
          </cell>
        </row>
        <row r="199">
          <cell r="H199">
            <v>2100717</v>
          </cell>
          <cell r="I199">
            <v>7132.9</v>
          </cell>
        </row>
        <row r="200">
          <cell r="H200">
            <v>2100799</v>
          </cell>
          <cell r="I200">
            <v>445.04</v>
          </cell>
        </row>
        <row r="201">
          <cell r="H201">
            <v>2101101</v>
          </cell>
          <cell r="I201">
            <v>2226.87</v>
          </cell>
        </row>
        <row r="202">
          <cell r="H202">
            <v>2101102</v>
          </cell>
          <cell r="I202">
            <v>11275.3269</v>
          </cell>
        </row>
        <row r="203">
          <cell r="H203">
            <v>2101202</v>
          </cell>
          <cell r="I203">
            <v>23249</v>
          </cell>
        </row>
        <row r="204">
          <cell r="H204">
            <v>2101301</v>
          </cell>
          <cell r="I204">
            <v>1320</v>
          </cell>
        </row>
        <row r="205">
          <cell r="H205">
            <v>2101401</v>
          </cell>
          <cell r="I205">
            <v>42</v>
          </cell>
        </row>
        <row r="206">
          <cell r="H206">
            <v>2101499</v>
          </cell>
          <cell r="I206">
            <v>0</v>
          </cell>
        </row>
        <row r="207">
          <cell r="H207">
            <v>2101601</v>
          </cell>
          <cell r="I207">
            <v>32</v>
          </cell>
        </row>
        <row r="208">
          <cell r="H208">
            <v>2101704</v>
          </cell>
          <cell r="I208">
            <v>0</v>
          </cell>
        </row>
        <row r="209">
          <cell r="H209">
            <v>2109999</v>
          </cell>
          <cell r="I209">
            <v>0</v>
          </cell>
        </row>
        <row r="210">
          <cell r="H210">
            <v>2110102</v>
          </cell>
          <cell r="I210">
            <v>189</v>
          </cell>
        </row>
        <row r="211">
          <cell r="H211">
            <v>2110302</v>
          </cell>
          <cell r="I211">
            <v>2409</v>
          </cell>
        </row>
        <row r="212">
          <cell r="H212">
            <v>2120101</v>
          </cell>
          <cell r="I212">
            <v>524.61</v>
          </cell>
        </row>
        <row r="213">
          <cell r="H213">
            <v>2120102</v>
          </cell>
          <cell r="I213">
            <v>4851.462</v>
          </cell>
        </row>
        <row r="214">
          <cell r="H214">
            <v>2120104</v>
          </cell>
          <cell r="I214">
            <v>219</v>
          </cell>
        </row>
        <row r="215">
          <cell r="H215">
            <v>2120199</v>
          </cell>
          <cell r="I215">
            <v>5065.98</v>
          </cell>
        </row>
        <row r="216">
          <cell r="H216">
            <v>2120201</v>
          </cell>
          <cell r="I216">
            <v>0</v>
          </cell>
        </row>
        <row r="217">
          <cell r="H217">
            <v>2120501</v>
          </cell>
          <cell r="I217">
            <v>0</v>
          </cell>
        </row>
        <row r="218">
          <cell r="H218">
            <v>2120802</v>
          </cell>
          <cell r="I218">
            <v>0</v>
          </cell>
        </row>
        <row r="219">
          <cell r="H219">
            <v>2120803</v>
          </cell>
          <cell r="I219">
            <v>0</v>
          </cell>
        </row>
        <row r="220">
          <cell r="H220">
            <v>2120804</v>
          </cell>
          <cell r="I220">
            <v>0</v>
          </cell>
        </row>
        <row r="221">
          <cell r="H221">
            <v>2120805</v>
          </cell>
          <cell r="I221">
            <v>0</v>
          </cell>
        </row>
        <row r="222">
          <cell r="H222">
            <v>2120814</v>
          </cell>
          <cell r="I222">
            <v>0</v>
          </cell>
        </row>
        <row r="223">
          <cell r="H223">
            <v>2120815</v>
          </cell>
          <cell r="I223">
            <v>0</v>
          </cell>
        </row>
        <row r="224">
          <cell r="H224">
            <v>2120816</v>
          </cell>
          <cell r="I224">
            <v>0</v>
          </cell>
        </row>
        <row r="225">
          <cell r="H225">
            <v>2120899</v>
          </cell>
          <cell r="I225">
            <v>0</v>
          </cell>
        </row>
        <row r="226">
          <cell r="H226">
            <v>2121099</v>
          </cell>
          <cell r="I226">
            <v>0</v>
          </cell>
        </row>
        <row r="227">
          <cell r="H227">
            <v>2121302</v>
          </cell>
          <cell r="I227">
            <v>0</v>
          </cell>
        </row>
        <row r="228">
          <cell r="H228">
            <v>2121399</v>
          </cell>
          <cell r="I228">
            <v>0</v>
          </cell>
        </row>
        <row r="229">
          <cell r="H229">
            <v>2121401</v>
          </cell>
          <cell r="I229">
            <v>0</v>
          </cell>
        </row>
        <row r="230">
          <cell r="H230">
            <v>2121499</v>
          </cell>
          <cell r="I230">
            <v>0</v>
          </cell>
        </row>
        <row r="231">
          <cell r="H231">
            <v>2130101</v>
          </cell>
          <cell r="I231">
            <v>844.55</v>
          </cell>
        </row>
        <row r="232">
          <cell r="H232">
            <v>2130102</v>
          </cell>
          <cell r="I232">
            <v>43.25</v>
          </cell>
        </row>
        <row r="233">
          <cell r="H233">
            <v>2130104</v>
          </cell>
          <cell r="I233">
            <v>18302.54</v>
          </cell>
        </row>
        <row r="234">
          <cell r="H234">
            <v>2130106</v>
          </cell>
          <cell r="I234">
            <v>8</v>
          </cell>
        </row>
        <row r="235">
          <cell r="H235">
            <v>2130108</v>
          </cell>
          <cell r="I235">
            <v>428.5</v>
          </cell>
        </row>
        <row r="236">
          <cell r="H236">
            <v>2130109</v>
          </cell>
          <cell r="I236">
            <v>35</v>
          </cell>
        </row>
        <row r="237">
          <cell r="H237">
            <v>2130110</v>
          </cell>
          <cell r="I237">
            <v>19</v>
          </cell>
        </row>
        <row r="238">
          <cell r="H238">
            <v>2130112</v>
          </cell>
          <cell r="I238">
            <v>0</v>
          </cell>
        </row>
        <row r="239">
          <cell r="H239">
            <v>2130119</v>
          </cell>
          <cell r="I239">
            <v>477.5</v>
          </cell>
        </row>
        <row r="240">
          <cell r="H240">
            <v>2130120</v>
          </cell>
          <cell r="I240">
            <v>0</v>
          </cell>
        </row>
        <row r="241">
          <cell r="H241">
            <v>2130122</v>
          </cell>
          <cell r="I241">
            <v>100</v>
          </cell>
        </row>
        <row r="242">
          <cell r="H242">
            <v>2130124</v>
          </cell>
          <cell r="I242">
            <v>135</v>
          </cell>
        </row>
        <row r="243">
          <cell r="H243">
            <v>2130125</v>
          </cell>
          <cell r="I243">
            <v>21</v>
          </cell>
        </row>
        <row r="244">
          <cell r="H244">
            <v>2130135</v>
          </cell>
          <cell r="I244">
            <v>389</v>
          </cell>
        </row>
        <row r="245">
          <cell r="H245">
            <v>2130148</v>
          </cell>
          <cell r="I245">
            <v>0</v>
          </cell>
        </row>
        <row r="246">
          <cell r="H246">
            <v>2130153</v>
          </cell>
          <cell r="I246">
            <v>35</v>
          </cell>
        </row>
        <row r="247">
          <cell r="H247">
            <v>2130199</v>
          </cell>
          <cell r="I247">
            <v>1068.368</v>
          </cell>
        </row>
        <row r="248">
          <cell r="H248">
            <v>2130201</v>
          </cell>
          <cell r="I248">
            <v>186.19</v>
          </cell>
        </row>
        <row r="249">
          <cell r="H249">
            <v>2130202</v>
          </cell>
          <cell r="I249">
            <v>8.48</v>
          </cell>
        </row>
        <row r="250">
          <cell r="H250">
            <v>2130204</v>
          </cell>
          <cell r="I250">
            <v>1034.35</v>
          </cell>
        </row>
        <row r="251">
          <cell r="H251">
            <v>2130205</v>
          </cell>
          <cell r="I251">
            <v>376.8</v>
          </cell>
        </row>
        <row r="252">
          <cell r="H252">
            <v>2130207</v>
          </cell>
          <cell r="I252">
            <v>98.18</v>
          </cell>
        </row>
        <row r="253">
          <cell r="H253">
            <v>2130209</v>
          </cell>
          <cell r="I253">
            <v>22</v>
          </cell>
        </row>
        <row r="254">
          <cell r="H254">
            <v>2130213</v>
          </cell>
          <cell r="I254">
            <v>20</v>
          </cell>
        </row>
        <row r="255">
          <cell r="H255">
            <v>2130234</v>
          </cell>
          <cell r="I255">
            <v>2437</v>
          </cell>
        </row>
        <row r="256">
          <cell r="H256">
            <v>2130299</v>
          </cell>
          <cell r="I256">
            <v>678.18</v>
          </cell>
        </row>
        <row r="257">
          <cell r="H257">
            <v>2130301</v>
          </cell>
          <cell r="I257">
            <v>426.57</v>
          </cell>
        </row>
        <row r="258">
          <cell r="H258">
            <v>2130302</v>
          </cell>
          <cell r="I258">
            <v>14.8</v>
          </cell>
        </row>
        <row r="259">
          <cell r="H259">
            <v>2130304</v>
          </cell>
          <cell r="I259">
            <v>743.82</v>
          </cell>
        </row>
        <row r="260">
          <cell r="H260">
            <v>2130305</v>
          </cell>
          <cell r="I260">
            <v>235</v>
          </cell>
        </row>
        <row r="261">
          <cell r="H261">
            <v>2130306</v>
          </cell>
          <cell r="I261">
            <v>1694.67</v>
          </cell>
        </row>
        <row r="262">
          <cell r="H262">
            <v>2130309</v>
          </cell>
          <cell r="I262">
            <v>27</v>
          </cell>
        </row>
        <row r="263">
          <cell r="H263">
            <v>2130310</v>
          </cell>
          <cell r="I263">
            <v>61</v>
          </cell>
        </row>
        <row r="264">
          <cell r="H264">
            <v>2130314</v>
          </cell>
          <cell r="I264">
            <v>291.8</v>
          </cell>
        </row>
        <row r="265">
          <cell r="H265">
            <v>2130399</v>
          </cell>
          <cell r="I265">
            <v>1391</v>
          </cell>
        </row>
        <row r="266">
          <cell r="H266">
            <v>2130504</v>
          </cell>
          <cell r="I266">
            <v>50.4</v>
          </cell>
        </row>
        <row r="267">
          <cell r="H267">
            <v>2130599</v>
          </cell>
          <cell r="I267">
            <v>3276</v>
          </cell>
        </row>
        <row r="268">
          <cell r="H268">
            <v>2130701</v>
          </cell>
          <cell r="I268">
            <v>0</v>
          </cell>
        </row>
        <row r="269">
          <cell r="H269">
            <v>2130705</v>
          </cell>
          <cell r="I269">
            <v>15646.16</v>
          </cell>
        </row>
        <row r="270">
          <cell r="H270">
            <v>2130803</v>
          </cell>
          <cell r="I270">
            <v>362</v>
          </cell>
        </row>
        <row r="271">
          <cell r="H271">
            <v>2130804</v>
          </cell>
          <cell r="I271">
            <v>5</v>
          </cell>
        </row>
        <row r="272">
          <cell r="H272">
            <v>2139999</v>
          </cell>
          <cell r="I272">
            <v>9800</v>
          </cell>
        </row>
        <row r="273">
          <cell r="H273">
            <v>2140101</v>
          </cell>
          <cell r="I273">
            <v>1748.5</v>
          </cell>
        </row>
        <row r="274">
          <cell r="H274">
            <v>2140102</v>
          </cell>
          <cell r="I274">
            <v>1424.18</v>
          </cell>
        </row>
        <row r="275">
          <cell r="H275">
            <v>2140199</v>
          </cell>
          <cell r="I275">
            <v>937.3</v>
          </cell>
        </row>
        <row r="276">
          <cell r="H276">
            <v>2150805</v>
          </cell>
          <cell r="I276">
            <v>32000</v>
          </cell>
        </row>
        <row r="277">
          <cell r="H277">
            <v>2160250</v>
          </cell>
          <cell r="I277">
            <v>243.67</v>
          </cell>
        </row>
        <row r="278">
          <cell r="H278">
            <v>2160299</v>
          </cell>
          <cell r="I278">
            <v>294</v>
          </cell>
        </row>
        <row r="279">
          <cell r="H279">
            <v>2160601</v>
          </cell>
          <cell r="I279">
            <v>287.31</v>
          </cell>
        </row>
        <row r="280">
          <cell r="H280">
            <v>2160602</v>
          </cell>
          <cell r="I280">
            <v>606.598</v>
          </cell>
        </row>
        <row r="281">
          <cell r="H281">
            <v>2179999</v>
          </cell>
          <cell r="I281">
            <v>30</v>
          </cell>
        </row>
        <row r="282">
          <cell r="H282">
            <v>2200101</v>
          </cell>
          <cell r="I282">
            <v>2534.3</v>
          </cell>
        </row>
        <row r="283">
          <cell r="H283">
            <v>2200102</v>
          </cell>
          <cell r="I283">
            <v>1353.56</v>
          </cell>
        </row>
        <row r="284">
          <cell r="H284">
            <v>2200109</v>
          </cell>
          <cell r="I284">
            <v>300</v>
          </cell>
        </row>
        <row r="285">
          <cell r="H285">
            <v>2200114</v>
          </cell>
          <cell r="I285">
            <v>40</v>
          </cell>
        </row>
        <row r="286">
          <cell r="H286">
            <v>2200120</v>
          </cell>
          <cell r="I286">
            <v>34.5</v>
          </cell>
        </row>
        <row r="287">
          <cell r="H287">
            <v>2200199</v>
          </cell>
          <cell r="I287">
            <v>1478.02</v>
          </cell>
        </row>
        <row r="288">
          <cell r="H288">
            <v>2200501</v>
          </cell>
          <cell r="I288">
            <v>38.82</v>
          </cell>
        </row>
        <row r="289">
          <cell r="H289">
            <v>2200504</v>
          </cell>
          <cell r="I289">
            <v>56.79</v>
          </cell>
        </row>
        <row r="290">
          <cell r="H290">
            <v>2200506</v>
          </cell>
          <cell r="I290">
            <v>141.8</v>
          </cell>
        </row>
        <row r="291">
          <cell r="H291">
            <v>2200508</v>
          </cell>
          <cell r="I291">
            <v>157</v>
          </cell>
        </row>
        <row r="292">
          <cell r="H292">
            <v>2200509</v>
          </cell>
          <cell r="I292">
            <v>9</v>
          </cell>
        </row>
        <row r="293">
          <cell r="H293">
            <v>2200510</v>
          </cell>
          <cell r="I293">
            <v>68</v>
          </cell>
        </row>
        <row r="294">
          <cell r="H294">
            <v>2210105</v>
          </cell>
          <cell r="I294">
            <v>72</v>
          </cell>
        </row>
        <row r="295">
          <cell r="H295">
            <v>2220115</v>
          </cell>
          <cell r="I295">
            <v>1500</v>
          </cell>
        </row>
        <row r="296">
          <cell r="H296">
            <v>2239999</v>
          </cell>
          <cell r="I296">
            <v>0</v>
          </cell>
        </row>
        <row r="297">
          <cell r="H297">
            <v>2240101</v>
          </cell>
          <cell r="I297">
            <v>829.38</v>
          </cell>
        </row>
        <row r="298">
          <cell r="H298">
            <v>2240102</v>
          </cell>
          <cell r="I298">
            <v>21.99</v>
          </cell>
        </row>
        <row r="299">
          <cell r="H299">
            <v>2240106</v>
          </cell>
          <cell r="I299">
            <v>70</v>
          </cell>
        </row>
        <row r="300">
          <cell r="H300">
            <v>2240108</v>
          </cell>
          <cell r="I300">
            <v>1100.48</v>
          </cell>
        </row>
        <row r="301">
          <cell r="H301">
            <v>2240150</v>
          </cell>
          <cell r="I301">
            <v>131.17</v>
          </cell>
        </row>
        <row r="302">
          <cell r="H302">
            <v>2240204</v>
          </cell>
          <cell r="I302">
            <v>3077.21</v>
          </cell>
        </row>
        <row r="303">
          <cell r="H303">
            <v>2240602</v>
          </cell>
          <cell r="I303">
            <v>215.82</v>
          </cell>
        </row>
        <row r="304">
          <cell r="H304">
            <v>2290201</v>
          </cell>
          <cell r="I304">
            <v>26639.8896</v>
          </cell>
        </row>
        <row r="305">
          <cell r="H305">
            <v>2296002</v>
          </cell>
          <cell r="I305">
            <v>0</v>
          </cell>
        </row>
        <row r="306">
          <cell r="H306">
            <v>2296003</v>
          </cell>
          <cell r="I306">
            <v>0</v>
          </cell>
        </row>
        <row r="307">
          <cell r="H307">
            <v>2296006</v>
          </cell>
          <cell r="I307">
            <v>0</v>
          </cell>
        </row>
        <row r="308">
          <cell r="H308">
            <v>2302101</v>
          </cell>
          <cell r="I308">
            <v>600</v>
          </cell>
        </row>
        <row r="309">
          <cell r="H309">
            <v>2310301</v>
          </cell>
          <cell r="I309">
            <v>13474</v>
          </cell>
        </row>
        <row r="310">
          <cell r="H310">
            <v>2310499</v>
          </cell>
          <cell r="I310">
            <v>0</v>
          </cell>
        </row>
        <row r="311">
          <cell r="H311">
            <v>2320301</v>
          </cell>
          <cell r="I311">
            <v>31554.1474</v>
          </cell>
        </row>
        <row r="312">
          <cell r="H312">
            <v>2320499</v>
          </cell>
          <cell r="I312">
            <v>0</v>
          </cell>
        </row>
        <row r="313">
          <cell r="H313">
            <v>2330301</v>
          </cell>
          <cell r="I313">
            <v>103.59</v>
          </cell>
        </row>
        <row r="314">
          <cell r="H314">
            <v>2330499</v>
          </cell>
          <cell r="I314">
            <v>0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总封面"/>
      <sheetName val="总目录"/>
      <sheetName val="公共预算封面"/>
      <sheetName val="公共预算目录"/>
      <sheetName val="表一2022年收入预算（分单位）"/>
      <sheetName val="表二2022年公共预算支出表 "/>
      <sheetName val="表三2022年公共预算经济分类执行情况"/>
      <sheetName val="表四2023年收入预算"/>
      <sheetName val="表五2023年预算支出情况（项级）"/>
      <sheetName val="表六2023年一般公共预算经济分类支出表"/>
      <sheetName val="表七基本支出经济分类"/>
      <sheetName val="表八三保支出预算情况表 "/>
      <sheetName val="表九三保支出预算财力安排情况表 "/>
      <sheetName val="政府性基金预算封面"/>
      <sheetName val="基金目录"/>
      <sheetName val="表一2022年基金收入预算"/>
      <sheetName val="表二2022年基金支出预算"/>
      <sheetName val="表三2023年基金收入预算"/>
      <sheetName val="表四2023年基金支出预算"/>
      <sheetName val="2021国有资本经营预算封面"/>
      <sheetName val="2023国有资经营预算目录"/>
      <sheetName val="表一2023国有资本经营预算收支总表"/>
      <sheetName val="表二2023国有资本经营预算收入表"/>
      <sheetName val="表三2023国有资本经营预算支出表"/>
      <sheetName val="表四2023国有资本经营预算支出项目表"/>
      <sheetName val="表五2023年国有资本经营预算补充表"/>
      <sheetName val="社保基金封面"/>
      <sheetName val="社保基金目录"/>
      <sheetName val="表一预算总表"/>
      <sheetName val="表二居民养老保险"/>
      <sheetName val="表三机关事业社会养老保险基金预算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workbookViewId="0">
      <selection activeCell="E9" sqref="E9"/>
    </sheetView>
  </sheetViews>
  <sheetFormatPr defaultColWidth="9.125" defaultRowHeight="12.5"/>
  <cols>
    <col min="1" max="2" width="11.375" style="359" customWidth="1"/>
    <col min="3" max="3" width="11.375" style="296" customWidth="1"/>
    <col min="4" max="4" width="10" style="296" customWidth="1"/>
    <col min="5" max="5" width="11.375" style="296" customWidth="1"/>
    <col min="6" max="6" width="11.375" style="359" customWidth="1"/>
    <col min="7" max="7" width="14.75" style="359" customWidth="1"/>
    <col min="8" max="10" width="11.375" style="359" customWidth="1"/>
    <col min="11" max="16384" width="9.125" style="359"/>
  </cols>
  <sheetData>
    <row r="1" ht="21.75" customHeight="1" spans="1:2">
      <c r="A1" s="392"/>
      <c r="B1" s="393"/>
    </row>
    <row r="2" ht="35.25" customHeight="1"/>
    <row r="3" ht="22.35" customHeight="1"/>
    <row r="4" ht="12.2" customHeight="1"/>
    <row r="5" ht="44.25" customHeight="1" spans="1:10">
      <c r="A5" s="843" t="s">
        <v>0</v>
      </c>
      <c r="B5" s="843"/>
      <c r="C5" s="843"/>
      <c r="D5" s="843"/>
      <c r="E5" s="843"/>
      <c r="F5" s="843"/>
      <c r="G5" s="843"/>
      <c r="H5" s="843"/>
      <c r="I5" s="843"/>
      <c r="J5" s="843"/>
    </row>
    <row r="6" ht="21.6" customHeight="1"/>
    <row r="7" ht="21.6" customHeight="1"/>
    <row r="8" ht="21.6" customHeight="1"/>
    <row r="9" ht="16.5" customHeight="1"/>
    <row r="10" ht="20.45" customHeight="1"/>
    <row r="11" ht="12.2" customHeight="1"/>
    <row r="12" ht="26.25" customHeight="1" spans="2:10">
      <c r="B12" s="400"/>
      <c r="C12" s="399"/>
      <c r="D12" s="399"/>
      <c r="E12" s="399" t="s">
        <v>1</v>
      </c>
      <c r="F12" s="400"/>
      <c r="G12" s="400"/>
      <c r="H12" s="400"/>
      <c r="I12" s="400"/>
      <c r="J12" s="400"/>
    </row>
    <row r="13" ht="17.25" customHeight="1" spans="2:9">
      <c r="B13" s="401"/>
      <c r="C13" s="402"/>
      <c r="D13" s="402"/>
      <c r="E13" s="402"/>
      <c r="F13" s="403"/>
      <c r="G13" s="296"/>
      <c r="H13" s="296"/>
      <c r="I13" s="296"/>
    </row>
    <row r="14" ht="27" customHeight="1" spans="2:10">
      <c r="B14" s="404"/>
      <c r="C14" s="405"/>
      <c r="D14" s="405"/>
      <c r="E14" s="405" t="s">
        <v>2</v>
      </c>
      <c r="F14" s="404"/>
      <c r="G14" s="404"/>
      <c r="H14" s="404"/>
      <c r="I14" s="404"/>
      <c r="J14" s="404"/>
    </row>
    <row r="15" ht="15.95" customHeight="1" spans="5:7">
      <c r="E15" s="844"/>
      <c r="F15" s="845"/>
      <c r="G15" s="845"/>
    </row>
    <row r="16" ht="12.2" customHeight="1"/>
    <row r="17" ht="12" customHeight="1"/>
    <row r="18" ht="16.5" customHeight="1" spans="2:5">
      <c r="B18" s="359" t="s">
        <v>3</v>
      </c>
      <c r="C18" s="359"/>
      <c r="D18" s="359"/>
      <c r="E18" s="359"/>
    </row>
  </sheetData>
  <mergeCells count="3">
    <mergeCell ref="A1:B1"/>
    <mergeCell ref="A5:J5"/>
    <mergeCell ref="B18:J18"/>
  </mergeCells>
  <pageMargins left="0.747916666666667" right="0.747916666666667" top="0.984027777777778" bottom="0.786805555555556" header="0.510416666666667" footer="0.590277777777778"/>
  <pageSetup paperSize="9" orientation="landscape" useFirstPageNumber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showZeros="0" workbookViewId="0">
      <selection activeCell="A2" sqref="A2:D2"/>
    </sheetView>
  </sheetViews>
  <sheetFormatPr defaultColWidth="9.125" defaultRowHeight="12.5" outlineLevelCol="3"/>
  <cols>
    <col min="1" max="1" width="32.875" style="360" customWidth="1"/>
    <col min="2" max="2" width="17.5" style="297" customWidth="1"/>
    <col min="3" max="3" width="17.375" style="297" customWidth="1"/>
    <col min="4" max="4" width="14.25" style="297" customWidth="1"/>
    <col min="5" max="5" width="9.125" style="297"/>
    <col min="6" max="16384" width="9.125" style="360"/>
  </cols>
  <sheetData>
    <row r="1" ht="31.5" customHeight="1" spans="1:3">
      <c r="A1" s="488" t="s">
        <v>1004</v>
      </c>
      <c r="B1" s="489"/>
      <c r="C1" s="489"/>
    </row>
    <row r="2" ht="37.5" customHeight="1" spans="1:4">
      <c r="A2" s="467" t="s">
        <v>1005</v>
      </c>
      <c r="B2" s="467"/>
      <c r="C2" s="467"/>
      <c r="D2" s="467"/>
    </row>
    <row r="3" ht="41.25" customHeight="1" spans="1:4">
      <c r="A3" s="490"/>
      <c r="B3" s="489"/>
      <c r="C3" s="489"/>
      <c r="D3" s="491" t="s">
        <v>36</v>
      </c>
    </row>
    <row r="4" ht="35.1" customHeight="1" spans="1:4">
      <c r="A4" s="492" t="s">
        <v>908</v>
      </c>
      <c r="B4" s="493" t="s">
        <v>909</v>
      </c>
      <c r="C4" s="493" t="s">
        <v>1006</v>
      </c>
      <c r="D4" s="493" t="s">
        <v>86</v>
      </c>
    </row>
    <row r="5" ht="29.25" customHeight="1" spans="1:4">
      <c r="A5" s="494" t="s">
        <v>912</v>
      </c>
      <c r="B5" s="140">
        <v>105859</v>
      </c>
      <c r="C5" s="140">
        <v>85300</v>
      </c>
      <c r="D5" s="495"/>
    </row>
    <row r="6" ht="30" customHeight="1" spans="1:4">
      <c r="A6" s="494" t="s">
        <v>914</v>
      </c>
      <c r="B6" s="140">
        <v>83579</v>
      </c>
      <c r="C6" s="140">
        <v>58307</v>
      </c>
      <c r="D6" s="495"/>
    </row>
    <row r="7" ht="30" customHeight="1" spans="1:4">
      <c r="A7" s="494" t="s">
        <v>916</v>
      </c>
      <c r="B7" s="140">
        <v>22274</v>
      </c>
      <c r="C7" s="140">
        <v>19350</v>
      </c>
      <c r="D7" s="496"/>
    </row>
    <row r="8" ht="30" customHeight="1" spans="1:4">
      <c r="A8" s="494" t="s">
        <v>918</v>
      </c>
      <c r="B8" s="140">
        <v>5</v>
      </c>
      <c r="C8" s="140"/>
      <c r="D8" s="496"/>
    </row>
    <row r="9" ht="34.5" customHeight="1" spans="1:4">
      <c r="A9" s="494" t="s">
        <v>920</v>
      </c>
      <c r="B9" s="140">
        <v>425293</v>
      </c>
      <c r="C9" s="140">
        <v>396221</v>
      </c>
      <c r="D9" s="495"/>
    </row>
    <row r="10" ht="30" customHeight="1" spans="1:4">
      <c r="A10" s="494" t="s">
        <v>922</v>
      </c>
      <c r="B10" s="140">
        <v>2406</v>
      </c>
      <c r="C10" s="140">
        <v>3418</v>
      </c>
      <c r="D10" s="496"/>
    </row>
    <row r="11" ht="30" customHeight="1" spans="1:4">
      <c r="A11" s="494" t="s">
        <v>924</v>
      </c>
      <c r="B11" s="140">
        <v>82033</v>
      </c>
      <c r="C11" s="140">
        <v>59479</v>
      </c>
      <c r="D11" s="495"/>
    </row>
    <row r="12" ht="30" customHeight="1" spans="1:4">
      <c r="A12" s="494" t="s">
        <v>1007</v>
      </c>
      <c r="B12" s="140">
        <v>109218</v>
      </c>
      <c r="C12" s="140">
        <v>103397</v>
      </c>
      <c r="D12" s="495"/>
    </row>
    <row r="13" ht="30" customHeight="1" spans="1:4">
      <c r="A13" s="494" t="s">
        <v>1008</v>
      </c>
      <c r="B13" s="140">
        <v>21612</v>
      </c>
      <c r="C13" s="140">
        <v>22000</v>
      </c>
      <c r="D13" s="495"/>
    </row>
    <row r="14" ht="30" customHeight="1" spans="1:4">
      <c r="A14" s="494" t="s">
        <v>1009</v>
      </c>
      <c r="B14" s="140">
        <v>31463</v>
      </c>
      <c r="C14" s="140">
        <v>31658</v>
      </c>
      <c r="D14" s="496"/>
    </row>
    <row r="15" ht="30" customHeight="1" spans="1:4">
      <c r="A15" s="494" t="s">
        <v>1010</v>
      </c>
      <c r="B15" s="140">
        <v>26457</v>
      </c>
      <c r="C15" s="140">
        <v>13474</v>
      </c>
      <c r="D15" s="496"/>
    </row>
    <row r="16" ht="30" customHeight="1" spans="1:4">
      <c r="A16" s="494" t="s">
        <v>1011</v>
      </c>
      <c r="B16" s="140">
        <v>0</v>
      </c>
      <c r="C16" s="140">
        <v>600</v>
      </c>
      <c r="D16" s="496"/>
    </row>
    <row r="17" ht="30" customHeight="1" spans="1:4">
      <c r="A17" s="494" t="s">
        <v>936</v>
      </c>
      <c r="B17" s="140">
        <v>15000</v>
      </c>
      <c r="C17" s="140">
        <v>13000</v>
      </c>
      <c r="D17" s="497"/>
    </row>
    <row r="18" ht="30" customHeight="1" spans="1:4">
      <c r="A18" s="494" t="s">
        <v>938</v>
      </c>
      <c r="B18" s="140">
        <v>4501</v>
      </c>
      <c r="C18" s="140">
        <f>19470+4626+6800</f>
        <v>30896</v>
      </c>
      <c r="D18" s="496"/>
    </row>
    <row r="19" ht="30" customHeight="1" spans="1:4">
      <c r="A19" s="498" t="s">
        <v>940</v>
      </c>
      <c r="B19" s="499">
        <f>SUM(B5:B18)</f>
        <v>929700</v>
      </c>
      <c r="C19" s="499">
        <f>SUM(C5:C18)</f>
        <v>837100</v>
      </c>
      <c r="D19" s="496"/>
    </row>
    <row r="20" ht="30" customHeight="1"/>
  </sheetData>
  <mergeCells count="1">
    <mergeCell ref="A2:D2"/>
  </mergeCells>
  <printOptions horizontalCentered="1"/>
  <pageMargins left="0.66875" right="0.590277777777778" top="0.786805555555556" bottom="0.984027777777778" header="0.511805555555556" footer="0.590277777777778"/>
  <pageSetup paperSize="9" firstPageNumber="38" orientation="portrait" useFirstPageNumber="1" horizontalDpi="600"/>
  <headerFooter alignWithMargins="0">
    <oddFooter>&amp;C38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7"/>
  <sheetViews>
    <sheetView showZeros="0" workbookViewId="0">
      <selection activeCell="A2" sqref="A2:D2"/>
    </sheetView>
  </sheetViews>
  <sheetFormatPr defaultColWidth="9.125" defaultRowHeight="12" outlineLevelCol="3"/>
  <cols>
    <col min="1" max="1" width="30.125" style="463" customWidth="1"/>
    <col min="2" max="2" width="19" style="464" customWidth="1"/>
    <col min="3" max="3" width="17.875" style="463" customWidth="1"/>
    <col min="4" max="4" width="18.375" style="465" customWidth="1"/>
    <col min="5" max="16384" width="9.125" style="463"/>
  </cols>
  <sheetData>
    <row r="1" ht="24" customHeight="1" spans="1:1">
      <c r="A1" s="466" t="s">
        <v>1012</v>
      </c>
    </row>
    <row r="2" s="460" customFormat="1" ht="24" spans="1:4">
      <c r="A2" s="467" t="s">
        <v>1013</v>
      </c>
      <c r="B2" s="467"/>
      <c r="C2" s="468"/>
      <c r="D2" s="467"/>
    </row>
    <row r="3" ht="21" customHeight="1" spans="1:4">
      <c r="A3" s="469"/>
      <c r="D3" s="470" t="s">
        <v>36</v>
      </c>
    </row>
    <row r="4" ht="36.75" customHeight="1" spans="1:4">
      <c r="A4" s="471" t="s">
        <v>1014</v>
      </c>
      <c r="B4" s="472" t="s">
        <v>909</v>
      </c>
      <c r="C4" s="473" t="s">
        <v>1006</v>
      </c>
      <c r="D4" s="474" t="s">
        <v>1015</v>
      </c>
    </row>
    <row r="5" s="461" customFormat="1" ht="15.95" customHeight="1" spans="1:4">
      <c r="A5" s="475" t="s">
        <v>912</v>
      </c>
      <c r="B5" s="476">
        <f>SUM(B6:B9)</f>
        <v>80017</v>
      </c>
      <c r="C5" s="477">
        <f>SUM(C6:C9)</f>
        <v>75320.3348999998</v>
      </c>
      <c r="D5" s="478">
        <f t="shared" ref="D5:D29" si="0">C5/B5*100</f>
        <v>94.1304159116185</v>
      </c>
    </row>
    <row r="6" ht="15.95" customHeight="1" spans="1:4">
      <c r="A6" s="479" t="s">
        <v>1016</v>
      </c>
      <c r="B6" s="480">
        <v>44833</v>
      </c>
      <c r="C6" s="481">
        <v>58911.1499999998</v>
      </c>
      <c r="D6" s="482">
        <f t="shared" si="0"/>
        <v>131.401311533914</v>
      </c>
    </row>
    <row r="7" ht="15.95" customHeight="1" spans="1:4">
      <c r="A7" s="479" t="s">
        <v>1017</v>
      </c>
      <c r="B7" s="480">
        <v>9718</v>
      </c>
      <c r="C7" s="481">
        <v>9154.5515</v>
      </c>
      <c r="D7" s="482">
        <f t="shared" si="0"/>
        <v>94.2020117308088</v>
      </c>
    </row>
    <row r="8" ht="15.95" customHeight="1" spans="1:4">
      <c r="A8" s="479" t="s">
        <v>1018</v>
      </c>
      <c r="B8" s="480">
        <v>7605</v>
      </c>
      <c r="C8" s="481">
        <v>6584.9134</v>
      </c>
      <c r="D8" s="482">
        <f t="shared" si="0"/>
        <v>86.5866324786325</v>
      </c>
    </row>
    <row r="9" ht="15.95" customHeight="1" spans="1:4">
      <c r="A9" s="479" t="s">
        <v>1019</v>
      </c>
      <c r="B9" s="480">
        <v>17861</v>
      </c>
      <c r="C9" s="481">
        <v>669.72</v>
      </c>
      <c r="D9" s="482">
        <f t="shared" si="0"/>
        <v>3.74962208163037</v>
      </c>
    </row>
    <row r="10" s="461" customFormat="1" ht="15.95" customHeight="1" spans="1:4">
      <c r="A10" s="475" t="s">
        <v>914</v>
      </c>
      <c r="B10" s="476">
        <f>SUM(B11:B20)</f>
        <v>9855</v>
      </c>
      <c r="C10" s="477">
        <f>SUM(C11:C20)</f>
        <v>9864.924382</v>
      </c>
      <c r="D10" s="478">
        <f t="shared" si="0"/>
        <v>100.100704028412</v>
      </c>
    </row>
    <row r="11" ht="15.95" customHeight="1" spans="1:4">
      <c r="A11" s="479" t="s">
        <v>1020</v>
      </c>
      <c r="B11" s="480">
        <v>6528</v>
      </c>
      <c r="C11" s="481">
        <v>6609.842836</v>
      </c>
      <c r="D11" s="482">
        <f t="shared" si="0"/>
        <v>101.253719914216</v>
      </c>
    </row>
    <row r="12" ht="15.95" customHeight="1" spans="1:4">
      <c r="A12" s="479" t="s">
        <v>1021</v>
      </c>
      <c r="B12" s="480">
        <v>45</v>
      </c>
      <c r="C12" s="481">
        <v>46.04</v>
      </c>
      <c r="D12" s="482">
        <f t="shared" si="0"/>
        <v>102.311111111111</v>
      </c>
    </row>
    <row r="13" ht="15.95" customHeight="1" spans="1:4">
      <c r="A13" s="479" t="s">
        <v>1022</v>
      </c>
      <c r="B13" s="480">
        <v>148</v>
      </c>
      <c r="C13" s="481">
        <v>125.27</v>
      </c>
      <c r="D13" s="482">
        <f t="shared" si="0"/>
        <v>84.6418918918919</v>
      </c>
    </row>
    <row r="14" ht="15.95" customHeight="1" spans="1:4">
      <c r="A14" s="479" t="s">
        <v>1023</v>
      </c>
      <c r="B14" s="480">
        <v>58</v>
      </c>
      <c r="C14" s="481">
        <v>50</v>
      </c>
      <c r="D14" s="482">
        <f t="shared" si="0"/>
        <v>86.2068965517241</v>
      </c>
    </row>
    <row r="15" ht="15.95" customHeight="1" spans="1:4">
      <c r="A15" s="479" t="s">
        <v>1024</v>
      </c>
      <c r="B15" s="480">
        <v>438</v>
      </c>
      <c r="C15" s="481">
        <v>456.419946</v>
      </c>
      <c r="D15" s="482">
        <f t="shared" si="0"/>
        <v>104.205467123288</v>
      </c>
    </row>
    <row r="16" ht="15.95" customHeight="1" spans="1:4">
      <c r="A16" s="479" t="s">
        <v>1025</v>
      </c>
      <c r="B16" s="480">
        <v>150</v>
      </c>
      <c r="C16" s="481">
        <v>160.39</v>
      </c>
      <c r="D16" s="482">
        <f t="shared" si="0"/>
        <v>106.926666666667</v>
      </c>
    </row>
    <row r="17" ht="15.95" customHeight="1" spans="1:4">
      <c r="A17" s="479" t="s">
        <v>1026</v>
      </c>
      <c r="B17" s="480">
        <v>11</v>
      </c>
      <c r="C17" s="481">
        <v>32.3</v>
      </c>
      <c r="D17" s="482">
        <f t="shared" si="0"/>
        <v>293.636363636364</v>
      </c>
    </row>
    <row r="18" ht="15.95" customHeight="1" spans="1:4">
      <c r="A18" s="479" t="s">
        <v>1027</v>
      </c>
      <c r="B18" s="480">
        <v>513</v>
      </c>
      <c r="C18" s="481">
        <v>536.68</v>
      </c>
      <c r="D18" s="482">
        <f t="shared" si="0"/>
        <v>104.615984405458</v>
      </c>
    </row>
    <row r="19" ht="15.95" customHeight="1" spans="1:4">
      <c r="A19" s="479" t="s">
        <v>1028</v>
      </c>
      <c r="B19" s="480">
        <v>345</v>
      </c>
      <c r="C19" s="481">
        <v>328.79</v>
      </c>
      <c r="D19" s="482">
        <f t="shared" si="0"/>
        <v>95.3014492753623</v>
      </c>
    </row>
    <row r="20" ht="15.95" customHeight="1" spans="1:4">
      <c r="A20" s="479" t="s">
        <v>1029</v>
      </c>
      <c r="B20" s="480">
        <v>1619</v>
      </c>
      <c r="C20" s="481">
        <v>1519.1916</v>
      </c>
      <c r="D20" s="482">
        <f t="shared" si="0"/>
        <v>93.8351822112415</v>
      </c>
    </row>
    <row r="21" s="461" customFormat="1" ht="15.95" customHeight="1" spans="1:4">
      <c r="A21" s="475" t="s">
        <v>916</v>
      </c>
      <c r="B21" s="476">
        <f>SUM(B22:B24)</f>
        <v>313</v>
      </c>
      <c r="C21" s="477">
        <f>SUM(C22:C24)</f>
        <v>733.512218</v>
      </c>
      <c r="D21" s="478">
        <f t="shared" si="0"/>
        <v>234.3489514377</v>
      </c>
    </row>
    <row r="22" s="461" customFormat="1" ht="15.95" customHeight="1" spans="1:4">
      <c r="A22" s="479" t="s">
        <v>1030</v>
      </c>
      <c r="B22" s="480">
        <v>17</v>
      </c>
      <c r="C22" s="481"/>
      <c r="D22" s="478">
        <f t="shared" si="0"/>
        <v>0</v>
      </c>
    </row>
    <row r="23" ht="15.95" customHeight="1" spans="1:4">
      <c r="A23" s="479" t="s">
        <v>1031</v>
      </c>
      <c r="B23" s="480">
        <v>246</v>
      </c>
      <c r="C23" s="481">
        <v>618.512218</v>
      </c>
      <c r="D23" s="482">
        <f t="shared" si="0"/>
        <v>251.427730894309</v>
      </c>
    </row>
    <row r="24" ht="15.95" customHeight="1" spans="1:4">
      <c r="A24" s="479" t="s">
        <v>1032</v>
      </c>
      <c r="B24" s="480">
        <v>50</v>
      </c>
      <c r="C24" s="481">
        <v>115</v>
      </c>
      <c r="D24" s="482">
        <f t="shared" si="0"/>
        <v>230</v>
      </c>
    </row>
    <row r="25" s="461" customFormat="1" ht="15.95" customHeight="1" spans="1:4">
      <c r="A25" s="475" t="s">
        <v>1033</v>
      </c>
      <c r="B25" s="476">
        <f>SUM(B26:B27)</f>
        <v>364915</v>
      </c>
      <c r="C25" s="477">
        <f>SUM(C26:C27)</f>
        <v>373498.485372</v>
      </c>
      <c r="D25" s="478">
        <f t="shared" si="0"/>
        <v>102.35218759766</v>
      </c>
    </row>
    <row r="26" ht="15.95" customHeight="1" spans="1:4">
      <c r="A26" s="479" t="s">
        <v>1034</v>
      </c>
      <c r="B26" s="483">
        <v>350930</v>
      </c>
      <c r="C26" s="481">
        <v>347120.2708</v>
      </c>
      <c r="D26" s="482">
        <f t="shared" si="0"/>
        <v>98.9143905622204</v>
      </c>
    </row>
    <row r="27" ht="15.95" customHeight="1" spans="1:4">
      <c r="A27" s="479" t="s">
        <v>1035</v>
      </c>
      <c r="B27" s="483">
        <v>13985</v>
      </c>
      <c r="C27" s="481">
        <v>26378.214572</v>
      </c>
      <c r="D27" s="482">
        <f t="shared" si="0"/>
        <v>188.617908988202</v>
      </c>
    </row>
    <row r="28" ht="15.95" customHeight="1" spans="1:4">
      <c r="A28" s="475" t="s">
        <v>1036</v>
      </c>
      <c r="B28" s="476">
        <f>SUM(B29:B30)</f>
        <v>258</v>
      </c>
      <c r="C28" s="477">
        <f>SUM(C29:C30)</f>
        <v>1288.715928</v>
      </c>
      <c r="D28" s="478">
        <f t="shared" si="0"/>
        <v>499.502297674419</v>
      </c>
    </row>
    <row r="29" s="462" customFormat="1" ht="15.95" customHeight="1" spans="1:4">
      <c r="A29" s="479" t="s">
        <v>1037</v>
      </c>
      <c r="B29" s="480">
        <v>249</v>
      </c>
      <c r="C29" s="481">
        <v>1288.715928</v>
      </c>
      <c r="D29" s="482">
        <f t="shared" si="0"/>
        <v>517.556597590361</v>
      </c>
    </row>
    <row r="30" ht="15.95" customHeight="1" spans="1:4">
      <c r="A30" s="479" t="s">
        <v>1038</v>
      </c>
      <c r="B30" s="480">
        <v>9</v>
      </c>
      <c r="C30" s="481"/>
      <c r="D30" s="482"/>
    </row>
    <row r="31" ht="15.95" customHeight="1" spans="1:4">
      <c r="A31" s="475" t="s">
        <v>1039</v>
      </c>
      <c r="B31" s="476">
        <f>SUM(B32:B32)</f>
        <v>30</v>
      </c>
      <c r="C31" s="477">
        <f>SUM(C32:C32)</f>
        <v>0</v>
      </c>
      <c r="D31" s="478">
        <f t="shared" ref="D31:D36" si="1">C31/B31*100</f>
        <v>0</v>
      </c>
    </row>
    <row r="32" s="461" customFormat="1" ht="15.95" customHeight="1" spans="1:4">
      <c r="A32" s="479" t="s">
        <v>1040</v>
      </c>
      <c r="B32" s="483">
        <v>30</v>
      </c>
      <c r="C32" s="481"/>
      <c r="D32" s="478"/>
    </row>
    <row r="33" s="461" customFormat="1" ht="15.95" customHeight="1" spans="1:4">
      <c r="A33" s="475" t="s">
        <v>1041</v>
      </c>
      <c r="B33" s="476">
        <f>SUM(B34:B35)</f>
        <v>23758</v>
      </c>
      <c r="C33" s="477">
        <f>SUM(C34:C35)</f>
        <v>25808.8072</v>
      </c>
      <c r="D33" s="478">
        <f t="shared" si="1"/>
        <v>108.632070039566</v>
      </c>
    </row>
    <row r="34" s="461" customFormat="1" ht="15.95" customHeight="1" spans="1:4">
      <c r="A34" s="479" t="s">
        <v>1042</v>
      </c>
      <c r="B34" s="480">
        <v>3065</v>
      </c>
      <c r="C34" s="481">
        <v>3175.942</v>
      </c>
      <c r="D34" s="482">
        <f t="shared" si="1"/>
        <v>103.619641109299</v>
      </c>
    </row>
    <row r="35" ht="15.95" customHeight="1" spans="1:4">
      <c r="A35" s="479" t="s">
        <v>1043</v>
      </c>
      <c r="B35" s="480">
        <v>20693</v>
      </c>
      <c r="C35" s="481">
        <v>22632.8652</v>
      </c>
      <c r="D35" s="482">
        <f t="shared" si="1"/>
        <v>109.374499589233</v>
      </c>
    </row>
    <row r="36" ht="15.95" customHeight="1" spans="1:4">
      <c r="A36" s="484" t="s">
        <v>1044</v>
      </c>
      <c r="B36" s="485">
        <f>SUM(B5,B10,B21,B25,B28,B31,B33)</f>
        <v>479146</v>
      </c>
      <c r="C36" s="486">
        <f>SUM(C5,C10,C21,C25,C28,C31,C33)</f>
        <v>486514.78</v>
      </c>
      <c r="D36" s="487">
        <f t="shared" si="1"/>
        <v>101.537898678065</v>
      </c>
    </row>
    <row r="37" ht="15.95" customHeight="1"/>
  </sheetData>
  <mergeCells count="1">
    <mergeCell ref="A2:D2"/>
  </mergeCells>
  <printOptions horizontalCentered="1"/>
  <pageMargins left="0.511805555555556" right="0.472222222222222" top="0.629861111111111" bottom="0.786805555555556" header="0.314583333333333" footer="0.590277777777778"/>
  <pageSetup paperSize="9" firstPageNumber="39" orientation="portrait" useFirstPageNumber="1" horizontalDpi="600"/>
  <headerFooter alignWithMargins="0">
    <oddFooter>&amp;C39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5"/>
  <sheetViews>
    <sheetView showZeros="0" view="pageBreakPreview" zoomScaleNormal="100" workbookViewId="0">
      <selection activeCell="A2" sqref="A2:G2"/>
    </sheetView>
  </sheetViews>
  <sheetFormatPr defaultColWidth="10.25" defaultRowHeight="12.5"/>
  <cols>
    <col min="1" max="1" width="14.75" style="441" customWidth="1"/>
    <col min="2" max="2" width="20.125" style="441" customWidth="1"/>
    <col min="3" max="3" width="36.75" style="442" customWidth="1"/>
    <col min="4" max="4" width="14.375" style="442" customWidth="1"/>
    <col min="5" max="5" width="14" style="442" customWidth="1"/>
    <col min="6" max="6" width="16.625" style="442" customWidth="1"/>
    <col min="7" max="7" width="10.25" style="442" customWidth="1"/>
    <col min="8" max="8" width="10.75" style="442" customWidth="1"/>
    <col min="9" max="16384" width="10.25" style="442"/>
  </cols>
  <sheetData>
    <row r="1" ht="17.25" customHeight="1" spans="1:2">
      <c r="A1" s="443" t="s">
        <v>1045</v>
      </c>
      <c r="B1" s="443"/>
    </row>
    <row r="2" ht="20.25" customHeight="1" spans="1:7">
      <c r="A2" s="410" t="s">
        <v>1046</v>
      </c>
      <c r="B2" s="410"/>
      <c r="C2" s="410"/>
      <c r="D2" s="411"/>
      <c r="E2" s="411"/>
      <c r="F2" s="411"/>
      <c r="G2" s="410"/>
    </row>
    <row r="3" ht="25.5" spans="1:7">
      <c r="A3" s="412"/>
      <c r="B3" s="412"/>
      <c r="C3" s="412"/>
      <c r="D3" s="412"/>
      <c r="E3" s="435" t="s">
        <v>36</v>
      </c>
      <c r="F3" s="435"/>
      <c r="G3" s="435"/>
    </row>
    <row r="4" ht="14" spans="1:7">
      <c r="A4" s="414" t="s">
        <v>1047</v>
      </c>
      <c r="B4" s="414" t="s">
        <v>1048</v>
      </c>
      <c r="C4" s="414" t="s">
        <v>1049</v>
      </c>
      <c r="D4" s="444" t="s">
        <v>1050</v>
      </c>
      <c r="E4" s="444" t="s">
        <v>1051</v>
      </c>
      <c r="F4" s="444"/>
      <c r="G4" s="414" t="s">
        <v>86</v>
      </c>
    </row>
    <row r="5" ht="26" spans="1:7">
      <c r="A5" s="414"/>
      <c r="B5" s="414"/>
      <c r="C5" s="414"/>
      <c r="D5" s="444"/>
      <c r="E5" s="444" t="s">
        <v>1052</v>
      </c>
      <c r="F5" s="445" t="s">
        <v>1053</v>
      </c>
      <c r="G5" s="414"/>
    </row>
    <row r="6" s="439" customFormat="1" ht="14" spans="1:7">
      <c r="A6" s="446" t="s">
        <v>1054</v>
      </c>
      <c r="B6" s="446"/>
      <c r="C6" s="446"/>
      <c r="D6" s="447">
        <f t="shared" ref="D6:F6" si="0">SUM(D7:D9)</f>
        <v>453833.3793</v>
      </c>
      <c r="E6" s="447">
        <f t="shared" si="0"/>
        <v>402296.0993</v>
      </c>
      <c r="F6" s="447">
        <f t="shared" si="0"/>
        <v>51537.28</v>
      </c>
      <c r="G6" s="448"/>
    </row>
    <row r="7" s="440" customFormat="1" ht="14" spans="1:8">
      <c r="A7" s="424" t="s">
        <v>1055</v>
      </c>
      <c r="B7" s="427" t="s">
        <v>1056</v>
      </c>
      <c r="C7" s="427"/>
      <c r="D7" s="449">
        <f>E7+F7</f>
        <v>267821</v>
      </c>
      <c r="E7" s="447">
        <v>267821</v>
      </c>
      <c r="F7" s="450"/>
      <c r="G7" s="451"/>
      <c r="H7" s="452"/>
    </row>
    <row r="8" s="440" customFormat="1" ht="14" spans="1:8">
      <c r="A8" s="424" t="s">
        <v>1057</v>
      </c>
      <c r="B8" s="453" t="s">
        <v>1058</v>
      </c>
      <c r="C8" s="453"/>
      <c r="D8" s="449">
        <f>E8+F8</f>
        <v>12362</v>
      </c>
      <c r="E8" s="447">
        <v>12362</v>
      </c>
      <c r="F8" s="450"/>
      <c r="G8" s="451"/>
      <c r="H8" s="452"/>
    </row>
    <row r="9" s="440" customFormat="1" ht="14" spans="1:16">
      <c r="A9" s="454" t="s">
        <v>1059</v>
      </c>
      <c r="B9" s="453" t="s">
        <v>1060</v>
      </c>
      <c r="C9" s="453"/>
      <c r="D9" s="447">
        <f>SUM(D10:D34)</f>
        <v>173650.3793</v>
      </c>
      <c r="E9" s="447">
        <f>SUM(E10:E34)</f>
        <v>122113.0993</v>
      </c>
      <c r="F9" s="447">
        <f>SUM(F10:F34)</f>
        <v>51537.28</v>
      </c>
      <c r="G9" s="451"/>
      <c r="H9" s="452"/>
      <c r="M9" s="440" t="s">
        <v>1061</v>
      </c>
      <c r="P9" s="440" t="s">
        <v>1062</v>
      </c>
    </row>
    <row r="10" s="440" customFormat="1" ht="15" spans="1:16">
      <c r="A10" s="454"/>
      <c r="B10" s="425" t="s">
        <v>1063</v>
      </c>
      <c r="C10" s="455" t="s">
        <v>1064</v>
      </c>
      <c r="D10" s="456">
        <v>472.23</v>
      </c>
      <c r="E10" s="456">
        <f t="shared" ref="E10:E34" si="1">D10-F10</f>
        <v>472.23</v>
      </c>
      <c r="F10" s="457"/>
      <c r="G10" s="451"/>
      <c r="H10" s="452" t="s">
        <v>1064</v>
      </c>
      <c r="I10" s="440">
        <v>472.23</v>
      </c>
      <c r="J10" s="440">
        <v>472.23</v>
      </c>
      <c r="K10" s="440">
        <v>0</v>
      </c>
      <c r="L10" s="440">
        <v>0</v>
      </c>
      <c r="M10" s="440">
        <f>J10+K10+L10</f>
        <v>472.23</v>
      </c>
      <c r="N10" s="440">
        <v>0</v>
      </c>
      <c r="O10" s="440">
        <v>0</v>
      </c>
      <c r="P10" s="440">
        <f>N10+O10</f>
        <v>0</v>
      </c>
    </row>
    <row r="11" s="440" customFormat="1" ht="15" spans="1:16">
      <c r="A11" s="454"/>
      <c r="B11" s="425" t="s">
        <v>1063</v>
      </c>
      <c r="C11" s="455" t="s">
        <v>1065</v>
      </c>
      <c r="D11" s="456">
        <v>11437.55</v>
      </c>
      <c r="E11" s="456">
        <f t="shared" si="1"/>
        <v>11437.55</v>
      </c>
      <c r="F11" s="457"/>
      <c r="G11" s="451"/>
      <c r="H11" s="452" t="s">
        <v>1065</v>
      </c>
      <c r="I11" s="440">
        <v>11437.55</v>
      </c>
      <c r="J11" s="440">
        <v>11437.55</v>
      </c>
      <c r="K11" s="440">
        <v>0</v>
      </c>
      <c r="L11" s="440">
        <v>0</v>
      </c>
      <c r="M11" s="440">
        <f t="shared" ref="M11:M35" si="2">J11+K11+L11</f>
        <v>11437.55</v>
      </c>
      <c r="N11" s="440">
        <v>0</v>
      </c>
      <c r="O11" s="440">
        <v>0</v>
      </c>
      <c r="P11" s="440">
        <f t="shared" ref="P11:P34" si="3">N11+O11</f>
        <v>0</v>
      </c>
    </row>
    <row r="12" s="440" customFormat="1" ht="15" spans="1:16">
      <c r="A12" s="454"/>
      <c r="B12" s="425" t="s">
        <v>1063</v>
      </c>
      <c r="C12" s="458" t="s">
        <v>1066</v>
      </c>
      <c r="D12" s="456">
        <v>1161.01</v>
      </c>
      <c r="E12" s="456">
        <f t="shared" si="1"/>
        <v>709.01</v>
      </c>
      <c r="F12" s="457">
        <v>452</v>
      </c>
      <c r="G12" s="451"/>
      <c r="H12" s="452" t="s">
        <v>1066</v>
      </c>
      <c r="I12" s="440">
        <v>1161.01</v>
      </c>
      <c r="J12" s="440">
        <v>709.01</v>
      </c>
      <c r="K12" s="440">
        <v>0</v>
      </c>
      <c r="L12" s="440">
        <v>0</v>
      </c>
      <c r="M12" s="440">
        <f t="shared" si="2"/>
        <v>709.01</v>
      </c>
      <c r="N12" s="440">
        <v>452</v>
      </c>
      <c r="O12" s="440">
        <v>0</v>
      </c>
      <c r="P12" s="440">
        <f t="shared" si="3"/>
        <v>452</v>
      </c>
    </row>
    <row r="13" s="440" customFormat="1" ht="15" spans="1:16">
      <c r="A13" s="454"/>
      <c r="B13" s="425" t="s">
        <v>1063</v>
      </c>
      <c r="C13" s="455" t="s">
        <v>1067</v>
      </c>
      <c r="D13" s="456">
        <v>282.03</v>
      </c>
      <c r="E13" s="456">
        <f t="shared" si="1"/>
        <v>282.03</v>
      </c>
      <c r="F13" s="457"/>
      <c r="G13" s="451"/>
      <c r="H13" s="452" t="s">
        <v>1067</v>
      </c>
      <c r="I13" s="440">
        <v>282.03</v>
      </c>
      <c r="J13" s="440">
        <v>282.03</v>
      </c>
      <c r="K13" s="440">
        <v>0</v>
      </c>
      <c r="L13" s="440">
        <v>0</v>
      </c>
      <c r="M13" s="440">
        <f t="shared" si="2"/>
        <v>282.03</v>
      </c>
      <c r="N13" s="440">
        <v>0</v>
      </c>
      <c r="O13" s="440">
        <v>0</v>
      </c>
      <c r="P13" s="440">
        <f t="shared" si="3"/>
        <v>0</v>
      </c>
    </row>
    <row r="14" s="440" customFormat="1" ht="15" spans="1:16">
      <c r="A14" s="454"/>
      <c r="B14" s="425" t="s">
        <v>1063</v>
      </c>
      <c r="C14" s="455" t="s">
        <v>1068</v>
      </c>
      <c r="D14" s="456">
        <v>115.13</v>
      </c>
      <c r="E14" s="456">
        <f t="shared" si="1"/>
        <v>115.13</v>
      </c>
      <c r="F14" s="457"/>
      <c r="G14" s="451"/>
      <c r="H14" s="452" t="s">
        <v>1068</v>
      </c>
      <c r="I14" s="440">
        <v>115.13</v>
      </c>
      <c r="J14" s="440">
        <v>115.13</v>
      </c>
      <c r="K14" s="440">
        <v>0</v>
      </c>
      <c r="L14" s="440">
        <v>0</v>
      </c>
      <c r="M14" s="440">
        <f t="shared" si="2"/>
        <v>115.13</v>
      </c>
      <c r="N14" s="440">
        <v>0</v>
      </c>
      <c r="O14" s="440">
        <v>0</v>
      </c>
      <c r="P14" s="440">
        <f t="shared" si="3"/>
        <v>0</v>
      </c>
    </row>
    <row r="15" s="440" customFormat="1" ht="15" spans="1:16">
      <c r="A15" s="454"/>
      <c r="B15" s="425" t="s">
        <v>1063</v>
      </c>
      <c r="C15" s="455" t="s">
        <v>1069</v>
      </c>
      <c r="D15" s="456">
        <v>484.25</v>
      </c>
      <c r="E15" s="456">
        <f t="shared" si="1"/>
        <v>484.25</v>
      </c>
      <c r="F15" s="457"/>
      <c r="G15" s="451"/>
      <c r="H15" s="452" t="s">
        <v>1069</v>
      </c>
      <c r="I15" s="440">
        <v>484.25</v>
      </c>
      <c r="J15" s="440">
        <v>484.25</v>
      </c>
      <c r="K15" s="440">
        <v>0</v>
      </c>
      <c r="L15" s="440">
        <v>0</v>
      </c>
      <c r="M15" s="440">
        <f t="shared" si="2"/>
        <v>484.25</v>
      </c>
      <c r="N15" s="440">
        <v>0</v>
      </c>
      <c r="O15" s="440">
        <v>0</v>
      </c>
      <c r="P15" s="440">
        <f t="shared" si="3"/>
        <v>0</v>
      </c>
    </row>
    <row r="16" s="440" customFormat="1" ht="15" spans="1:16">
      <c r="A16" s="454"/>
      <c r="B16" s="425" t="s">
        <v>1063</v>
      </c>
      <c r="C16" s="455" t="s">
        <v>1070</v>
      </c>
      <c r="D16" s="456">
        <v>3372.81</v>
      </c>
      <c r="E16" s="456">
        <f t="shared" si="1"/>
        <v>3372.81</v>
      </c>
      <c r="F16" s="457"/>
      <c r="G16" s="451"/>
      <c r="H16" s="452" t="s">
        <v>1070</v>
      </c>
      <c r="I16" s="440">
        <v>3372.81</v>
      </c>
      <c r="J16" s="440">
        <v>3372.81</v>
      </c>
      <c r="K16" s="440">
        <v>0</v>
      </c>
      <c r="L16" s="440">
        <v>0</v>
      </c>
      <c r="M16" s="440">
        <f t="shared" si="2"/>
        <v>3372.81</v>
      </c>
      <c r="N16" s="440">
        <v>0</v>
      </c>
      <c r="O16" s="440">
        <v>0</v>
      </c>
      <c r="P16" s="440">
        <f t="shared" si="3"/>
        <v>0</v>
      </c>
    </row>
    <row r="17" s="440" customFormat="1" ht="15" spans="1:16">
      <c r="A17" s="454"/>
      <c r="B17" s="425" t="s">
        <v>1063</v>
      </c>
      <c r="C17" s="455" t="s">
        <v>1071</v>
      </c>
      <c r="D17" s="456">
        <v>400</v>
      </c>
      <c r="E17" s="456">
        <f t="shared" si="1"/>
        <v>400</v>
      </c>
      <c r="F17" s="457">
        <v>0</v>
      </c>
      <c r="G17" s="451"/>
      <c r="H17" s="452" t="s">
        <v>1071</v>
      </c>
      <c r="I17" s="440">
        <v>400</v>
      </c>
      <c r="J17" s="440">
        <v>400</v>
      </c>
      <c r="K17" s="440">
        <v>0</v>
      </c>
      <c r="L17" s="440">
        <v>0</v>
      </c>
      <c r="M17" s="440">
        <f t="shared" si="2"/>
        <v>400</v>
      </c>
      <c r="N17" s="440">
        <v>0</v>
      </c>
      <c r="O17" s="440">
        <v>0</v>
      </c>
      <c r="P17" s="440">
        <f t="shared" si="3"/>
        <v>0</v>
      </c>
    </row>
    <row r="18" s="440" customFormat="1" ht="15" spans="1:16">
      <c r="A18" s="454"/>
      <c r="B18" s="425" t="s">
        <v>1072</v>
      </c>
      <c r="C18" s="458" t="s">
        <v>1073</v>
      </c>
      <c r="D18" s="456">
        <v>127.5</v>
      </c>
      <c r="E18" s="456">
        <f t="shared" si="1"/>
        <v>127.5</v>
      </c>
      <c r="F18" s="457">
        <v>0</v>
      </c>
      <c r="G18" s="451"/>
      <c r="H18" s="452" t="s">
        <v>1073</v>
      </c>
      <c r="I18" s="440">
        <v>127.5</v>
      </c>
      <c r="J18" s="440">
        <v>127.5</v>
      </c>
      <c r="K18" s="440">
        <v>0</v>
      </c>
      <c r="L18" s="440">
        <v>0</v>
      </c>
      <c r="M18" s="440">
        <f t="shared" si="2"/>
        <v>127.5</v>
      </c>
      <c r="N18" s="440">
        <v>0</v>
      </c>
      <c r="O18" s="440">
        <v>0</v>
      </c>
      <c r="P18" s="440">
        <f t="shared" si="3"/>
        <v>0</v>
      </c>
    </row>
    <row r="19" s="440" customFormat="1" ht="15" spans="1:16">
      <c r="A19" s="454"/>
      <c r="B19" s="425" t="s">
        <v>1074</v>
      </c>
      <c r="C19" s="455" t="s">
        <v>1075</v>
      </c>
      <c r="D19" s="456">
        <v>15637.3</v>
      </c>
      <c r="E19" s="456">
        <f t="shared" si="1"/>
        <v>15637.3</v>
      </c>
      <c r="F19" s="457"/>
      <c r="G19" s="451"/>
      <c r="H19" s="452" t="s">
        <v>1075</v>
      </c>
      <c r="I19" s="440">
        <v>15637.3</v>
      </c>
      <c r="J19" s="440">
        <v>15637.3</v>
      </c>
      <c r="K19" s="440">
        <v>0</v>
      </c>
      <c r="L19" s="440">
        <v>0</v>
      </c>
      <c r="M19" s="440">
        <f t="shared" si="2"/>
        <v>15637.3</v>
      </c>
      <c r="N19" s="440">
        <v>0</v>
      </c>
      <c r="O19" s="440">
        <v>0</v>
      </c>
      <c r="P19" s="440">
        <f t="shared" si="3"/>
        <v>0</v>
      </c>
    </row>
    <row r="20" s="440" customFormat="1" ht="15" spans="1:16">
      <c r="A20" s="454"/>
      <c r="B20" s="425" t="s">
        <v>1074</v>
      </c>
      <c r="C20" s="455" t="s">
        <v>1076</v>
      </c>
      <c r="D20" s="456">
        <v>2723</v>
      </c>
      <c r="E20" s="456">
        <f t="shared" si="1"/>
        <v>2723</v>
      </c>
      <c r="F20" s="457"/>
      <c r="G20" s="451"/>
      <c r="H20" s="452" t="s">
        <v>1076</v>
      </c>
      <c r="I20" s="440">
        <v>2723</v>
      </c>
      <c r="J20" s="440">
        <v>2723</v>
      </c>
      <c r="K20" s="440">
        <v>0</v>
      </c>
      <c r="L20" s="440">
        <v>0</v>
      </c>
      <c r="M20" s="440">
        <f t="shared" si="2"/>
        <v>2723</v>
      </c>
      <c r="N20" s="440">
        <v>0</v>
      </c>
      <c r="O20" s="440">
        <v>0</v>
      </c>
      <c r="P20" s="440">
        <f t="shared" si="3"/>
        <v>0</v>
      </c>
    </row>
    <row r="21" s="440" customFormat="1" ht="15" spans="1:16">
      <c r="A21" s="454"/>
      <c r="B21" s="425" t="s">
        <v>1074</v>
      </c>
      <c r="C21" s="455" t="s">
        <v>1077</v>
      </c>
      <c r="D21" s="456">
        <v>51832</v>
      </c>
      <c r="E21" s="456">
        <f t="shared" si="1"/>
        <v>22000</v>
      </c>
      <c r="F21" s="457">
        <v>29832</v>
      </c>
      <c r="G21" s="451"/>
      <c r="H21" s="452" t="s">
        <v>1077</v>
      </c>
      <c r="I21" s="440">
        <v>51832</v>
      </c>
      <c r="J21" s="440">
        <v>22000</v>
      </c>
      <c r="K21" s="440">
        <v>0</v>
      </c>
      <c r="L21" s="440">
        <v>0</v>
      </c>
      <c r="M21" s="440">
        <f t="shared" si="2"/>
        <v>22000</v>
      </c>
      <c r="N21" s="440">
        <v>29832</v>
      </c>
      <c r="O21" s="440">
        <v>0</v>
      </c>
      <c r="P21" s="440">
        <f t="shared" si="3"/>
        <v>29832</v>
      </c>
    </row>
    <row r="22" s="440" customFormat="1" ht="15" spans="1:16">
      <c r="A22" s="454"/>
      <c r="B22" s="425" t="s">
        <v>1074</v>
      </c>
      <c r="C22" s="455" t="s">
        <v>1078</v>
      </c>
      <c r="D22" s="456">
        <v>203.2</v>
      </c>
      <c r="E22" s="456">
        <f t="shared" si="1"/>
        <v>203.2</v>
      </c>
      <c r="F22" s="457"/>
      <c r="G22" s="451"/>
      <c r="H22" s="452" t="s">
        <v>1078</v>
      </c>
      <c r="I22" s="440">
        <v>203.2</v>
      </c>
      <c r="J22" s="440">
        <v>203.2</v>
      </c>
      <c r="K22" s="440">
        <v>0</v>
      </c>
      <c r="L22" s="440">
        <v>0</v>
      </c>
      <c r="M22" s="440">
        <f t="shared" si="2"/>
        <v>203.2</v>
      </c>
      <c r="N22" s="440">
        <v>0</v>
      </c>
      <c r="O22" s="440">
        <v>0</v>
      </c>
      <c r="P22" s="440">
        <f t="shared" si="3"/>
        <v>0</v>
      </c>
    </row>
    <row r="23" s="440" customFormat="1" ht="15" spans="1:16">
      <c r="A23" s="454"/>
      <c r="B23" s="425" t="s">
        <v>1074</v>
      </c>
      <c r="C23" s="455" t="s">
        <v>1079</v>
      </c>
      <c r="D23" s="456">
        <v>5500</v>
      </c>
      <c r="E23" s="456">
        <f t="shared" si="1"/>
        <v>5500</v>
      </c>
      <c r="F23" s="457">
        <v>0</v>
      </c>
      <c r="G23" s="451"/>
      <c r="H23" s="452" t="s">
        <v>1079</v>
      </c>
      <c r="I23" s="440">
        <v>5500</v>
      </c>
      <c r="J23" s="440">
        <v>5500</v>
      </c>
      <c r="K23" s="440">
        <v>0</v>
      </c>
      <c r="L23" s="440">
        <v>0</v>
      </c>
      <c r="M23" s="440">
        <f t="shared" si="2"/>
        <v>5500</v>
      </c>
      <c r="N23" s="440">
        <v>0</v>
      </c>
      <c r="O23" s="440">
        <v>0</v>
      </c>
      <c r="P23" s="440">
        <f t="shared" si="3"/>
        <v>0</v>
      </c>
    </row>
    <row r="24" s="440" customFormat="1" ht="15" spans="1:16">
      <c r="A24" s="454"/>
      <c r="B24" s="425" t="s">
        <v>1074</v>
      </c>
      <c r="C24" s="455" t="s">
        <v>1080</v>
      </c>
      <c r="D24" s="456">
        <v>555.2</v>
      </c>
      <c r="E24" s="456">
        <f t="shared" si="1"/>
        <v>555.2</v>
      </c>
      <c r="F24" s="457"/>
      <c r="G24" s="451"/>
      <c r="H24" s="452" t="s">
        <v>1080</v>
      </c>
      <c r="I24" s="440">
        <v>555.2</v>
      </c>
      <c r="J24" s="440">
        <v>555.2</v>
      </c>
      <c r="K24" s="440">
        <v>0</v>
      </c>
      <c r="L24" s="440">
        <v>0</v>
      </c>
      <c r="M24" s="440">
        <f t="shared" si="2"/>
        <v>555.2</v>
      </c>
      <c r="N24" s="440">
        <v>0</v>
      </c>
      <c r="O24" s="440">
        <v>0</v>
      </c>
      <c r="P24" s="440">
        <f t="shared" si="3"/>
        <v>0</v>
      </c>
    </row>
    <row r="25" s="440" customFormat="1" ht="15" spans="1:16">
      <c r="A25" s="454"/>
      <c r="B25" s="425" t="s">
        <v>1074</v>
      </c>
      <c r="C25" s="455" t="s">
        <v>1081</v>
      </c>
      <c r="D25" s="456">
        <v>0</v>
      </c>
      <c r="E25" s="456">
        <f t="shared" si="1"/>
        <v>0</v>
      </c>
      <c r="F25" s="457">
        <v>0</v>
      </c>
      <c r="G25" s="451"/>
      <c r="H25" s="452" t="s">
        <v>1082</v>
      </c>
      <c r="I25" s="440">
        <v>0</v>
      </c>
      <c r="J25" s="440">
        <v>0</v>
      </c>
      <c r="K25" s="440">
        <v>0</v>
      </c>
      <c r="L25" s="440">
        <v>0</v>
      </c>
      <c r="M25" s="440">
        <f t="shared" si="2"/>
        <v>0</v>
      </c>
      <c r="N25" s="440">
        <v>0</v>
      </c>
      <c r="O25" s="440">
        <v>0</v>
      </c>
      <c r="P25" s="440">
        <f t="shared" si="3"/>
        <v>0</v>
      </c>
    </row>
    <row r="26" s="440" customFormat="1" ht="15" spans="1:16">
      <c r="A26" s="454"/>
      <c r="B26" s="425" t="s">
        <v>1074</v>
      </c>
      <c r="C26" s="455" t="s">
        <v>1083</v>
      </c>
      <c r="D26" s="456">
        <v>7184.15</v>
      </c>
      <c r="E26" s="456">
        <f t="shared" si="1"/>
        <v>1988.15</v>
      </c>
      <c r="F26" s="457">
        <v>5196</v>
      </c>
      <c r="G26" s="451"/>
      <c r="H26" s="452" t="s">
        <v>1083</v>
      </c>
      <c r="I26" s="440">
        <v>7184.15</v>
      </c>
      <c r="J26" s="440">
        <v>1988</v>
      </c>
      <c r="K26" s="440">
        <v>0</v>
      </c>
      <c r="L26" s="440">
        <v>0</v>
      </c>
      <c r="M26" s="440">
        <f t="shared" si="2"/>
        <v>1988</v>
      </c>
      <c r="N26" s="440">
        <v>0</v>
      </c>
      <c r="O26" s="440">
        <v>5196.15</v>
      </c>
      <c r="P26" s="440">
        <f t="shared" si="3"/>
        <v>5196.15</v>
      </c>
    </row>
    <row r="27" s="440" customFormat="1" ht="15" spans="1:16">
      <c r="A27" s="454"/>
      <c r="B27" s="425" t="s">
        <v>1074</v>
      </c>
      <c r="C27" s="455" t="s">
        <v>1084</v>
      </c>
      <c r="D27" s="456">
        <v>3290</v>
      </c>
      <c r="E27" s="456">
        <f t="shared" si="1"/>
        <v>2586</v>
      </c>
      <c r="F27" s="457">
        <v>704</v>
      </c>
      <c r="G27" s="451"/>
      <c r="H27" s="452" t="s">
        <v>1084</v>
      </c>
      <c r="I27" s="440">
        <v>3290</v>
      </c>
      <c r="J27" s="440">
        <v>2586</v>
      </c>
      <c r="K27" s="440">
        <v>0</v>
      </c>
      <c r="L27" s="440">
        <v>0</v>
      </c>
      <c r="M27" s="440">
        <f t="shared" si="2"/>
        <v>2586</v>
      </c>
      <c r="N27" s="440">
        <v>0</v>
      </c>
      <c r="O27" s="440">
        <v>704</v>
      </c>
      <c r="P27" s="440">
        <f t="shared" si="3"/>
        <v>704</v>
      </c>
    </row>
    <row r="28" s="440" customFormat="1" ht="15" spans="1:16">
      <c r="A28" s="454"/>
      <c r="B28" s="425" t="s">
        <v>1085</v>
      </c>
      <c r="C28" s="455" t="s">
        <v>1086</v>
      </c>
      <c r="D28" s="456">
        <v>134.28</v>
      </c>
      <c r="E28" s="456">
        <f t="shared" si="1"/>
        <v>0</v>
      </c>
      <c r="F28" s="457">
        <v>134.28</v>
      </c>
      <c r="G28" s="451"/>
      <c r="H28" s="452" t="s">
        <v>1086</v>
      </c>
      <c r="I28" s="440">
        <v>134.28</v>
      </c>
      <c r="J28" s="440">
        <v>0</v>
      </c>
      <c r="K28" s="440">
        <v>0</v>
      </c>
      <c r="L28" s="440">
        <v>0</v>
      </c>
      <c r="M28" s="440">
        <f t="shared" si="2"/>
        <v>0</v>
      </c>
      <c r="N28" s="440">
        <v>0</v>
      </c>
      <c r="O28" s="440">
        <v>134.28</v>
      </c>
      <c r="P28" s="440">
        <f t="shared" si="3"/>
        <v>134.28</v>
      </c>
    </row>
    <row r="29" s="440" customFormat="1" ht="15" spans="1:16">
      <c r="A29" s="454"/>
      <c r="B29" s="425" t="s">
        <v>1085</v>
      </c>
      <c r="C29" s="455" t="s">
        <v>1087</v>
      </c>
      <c r="D29" s="456">
        <v>33315</v>
      </c>
      <c r="E29" s="456">
        <f t="shared" si="1"/>
        <v>23249</v>
      </c>
      <c r="F29" s="457">
        <v>10066</v>
      </c>
      <c r="G29" s="451"/>
      <c r="H29" s="452" t="s">
        <v>1087</v>
      </c>
      <c r="I29" s="440">
        <v>33315</v>
      </c>
      <c r="J29" s="440">
        <v>23249</v>
      </c>
      <c r="K29" s="440">
        <v>0</v>
      </c>
      <c r="L29" s="440">
        <v>0</v>
      </c>
      <c r="M29" s="440">
        <f t="shared" si="2"/>
        <v>23249</v>
      </c>
      <c r="N29" s="440">
        <v>10066</v>
      </c>
      <c r="O29" s="440">
        <v>0</v>
      </c>
      <c r="P29" s="440">
        <f t="shared" si="3"/>
        <v>10066</v>
      </c>
    </row>
    <row r="30" s="440" customFormat="1" ht="15" spans="1:16">
      <c r="A30" s="454"/>
      <c r="B30" s="425" t="s">
        <v>1085</v>
      </c>
      <c r="C30" s="455" t="s">
        <v>563</v>
      </c>
      <c r="D30" s="456">
        <v>6483.9973</v>
      </c>
      <c r="E30" s="456">
        <f t="shared" si="1"/>
        <v>4675.9973</v>
      </c>
      <c r="F30" s="457">
        <v>1808</v>
      </c>
      <c r="G30" s="451"/>
      <c r="H30" s="452" t="s">
        <v>563</v>
      </c>
      <c r="I30" s="440">
        <v>6483.9973</v>
      </c>
      <c r="J30" s="440">
        <v>4675.6373</v>
      </c>
      <c r="K30" s="440">
        <v>0</v>
      </c>
      <c r="L30" s="440">
        <v>0</v>
      </c>
      <c r="M30" s="440">
        <f t="shared" si="2"/>
        <v>4675.6373</v>
      </c>
      <c r="N30" s="440">
        <v>1808.36</v>
      </c>
      <c r="O30" s="440">
        <v>0</v>
      </c>
      <c r="P30" s="440">
        <f t="shared" si="3"/>
        <v>1808.36</v>
      </c>
    </row>
    <row r="31" s="440" customFormat="1" ht="15" spans="1:16">
      <c r="A31" s="454"/>
      <c r="B31" s="425" t="s">
        <v>1085</v>
      </c>
      <c r="C31" s="455" t="s">
        <v>1088</v>
      </c>
      <c r="D31" s="456">
        <v>1635.628</v>
      </c>
      <c r="E31" s="456">
        <f t="shared" si="1"/>
        <v>1635.628</v>
      </c>
      <c r="F31" s="457"/>
      <c r="G31" s="451"/>
      <c r="H31" s="452" t="s">
        <v>1088</v>
      </c>
      <c r="I31" s="440">
        <v>1635.628</v>
      </c>
      <c r="J31" s="440">
        <v>1635.628</v>
      </c>
      <c r="K31" s="440">
        <v>0</v>
      </c>
      <c r="L31" s="440">
        <v>0</v>
      </c>
      <c r="M31" s="440">
        <f t="shared" si="2"/>
        <v>1635.628</v>
      </c>
      <c r="N31" s="440">
        <v>0</v>
      </c>
      <c r="O31" s="440">
        <v>0</v>
      </c>
      <c r="P31" s="440">
        <f t="shared" si="3"/>
        <v>0</v>
      </c>
    </row>
    <row r="32" s="440" customFormat="1" ht="15" spans="1:16">
      <c r="A32" s="454"/>
      <c r="B32" s="425" t="s">
        <v>1085</v>
      </c>
      <c r="C32" s="455" t="s">
        <v>588</v>
      </c>
      <c r="D32" s="456">
        <v>1320</v>
      </c>
      <c r="E32" s="456">
        <f t="shared" si="1"/>
        <v>1320</v>
      </c>
      <c r="F32" s="457">
        <v>0</v>
      </c>
      <c r="G32" s="451"/>
      <c r="H32" s="452" t="s">
        <v>588</v>
      </c>
      <c r="I32" s="440">
        <v>1320</v>
      </c>
      <c r="J32" s="440">
        <v>1320</v>
      </c>
      <c r="K32" s="440">
        <v>0</v>
      </c>
      <c r="L32" s="440">
        <v>0</v>
      </c>
      <c r="M32" s="440">
        <f t="shared" si="2"/>
        <v>1320</v>
      </c>
      <c r="N32" s="440">
        <v>0</v>
      </c>
      <c r="O32" s="440">
        <v>0</v>
      </c>
      <c r="P32" s="440">
        <f t="shared" si="3"/>
        <v>0</v>
      </c>
    </row>
    <row r="33" s="440" customFormat="1" ht="15" spans="1:16">
      <c r="A33" s="454"/>
      <c r="B33" s="425" t="s">
        <v>1089</v>
      </c>
      <c r="C33" s="455" t="s">
        <v>1089</v>
      </c>
      <c r="D33" s="456">
        <v>6508.48</v>
      </c>
      <c r="E33" s="456">
        <f t="shared" si="1"/>
        <v>4931.48</v>
      </c>
      <c r="F33" s="457">
        <v>1577</v>
      </c>
      <c r="G33" s="451"/>
      <c r="H33" s="452" t="s">
        <v>1089</v>
      </c>
      <c r="I33" s="440">
        <v>6508.48</v>
      </c>
      <c r="J33" s="440">
        <v>2941.48</v>
      </c>
      <c r="K33" s="440">
        <v>0</v>
      </c>
      <c r="L33" s="440">
        <v>1990</v>
      </c>
      <c r="M33" s="440">
        <f t="shared" si="2"/>
        <v>4931.48</v>
      </c>
      <c r="N33" s="440">
        <v>0</v>
      </c>
      <c r="O33" s="440">
        <v>1577</v>
      </c>
      <c r="P33" s="440">
        <f t="shared" si="3"/>
        <v>1577</v>
      </c>
    </row>
    <row r="34" ht="15" spans="1:16">
      <c r="A34" s="454"/>
      <c r="B34" s="425" t="s">
        <v>1090</v>
      </c>
      <c r="C34" s="455" t="s">
        <v>1090</v>
      </c>
      <c r="D34" s="456">
        <v>19475.634</v>
      </c>
      <c r="E34" s="456">
        <f t="shared" si="1"/>
        <v>17707.634</v>
      </c>
      <c r="F34" s="457">
        <v>1768</v>
      </c>
      <c r="G34" s="451"/>
      <c r="H34" s="442" t="s">
        <v>1090</v>
      </c>
      <c r="I34" s="442">
        <v>19475.634</v>
      </c>
      <c r="J34" s="442">
        <v>14681.684</v>
      </c>
      <c r="K34" s="442">
        <v>0</v>
      </c>
      <c r="L34" s="442">
        <v>3026</v>
      </c>
      <c r="M34" s="440">
        <f t="shared" si="2"/>
        <v>17707.684</v>
      </c>
      <c r="N34" s="442">
        <v>0</v>
      </c>
      <c r="O34" s="442">
        <v>1767.95</v>
      </c>
      <c r="P34" s="440">
        <f t="shared" si="3"/>
        <v>1767.95</v>
      </c>
    </row>
    <row r="35" ht="13" spans="6:13">
      <c r="F35" s="459"/>
      <c r="M35" s="440">
        <f t="shared" si="2"/>
        <v>0</v>
      </c>
    </row>
  </sheetData>
  <mergeCells count="12">
    <mergeCell ref="A2:G2"/>
    <mergeCell ref="E3:G3"/>
    <mergeCell ref="E4:F4"/>
    <mergeCell ref="A6:C6"/>
    <mergeCell ref="B7:C7"/>
    <mergeCell ref="B8:C8"/>
    <mergeCell ref="B9:C9"/>
    <mergeCell ref="A4:A5"/>
    <mergeCell ref="A9:A34"/>
    <mergeCell ref="B4:B5"/>
    <mergeCell ref="C4:C5"/>
    <mergeCell ref="D4:D5"/>
  </mergeCells>
  <printOptions horizontalCentered="1"/>
  <pageMargins left="0.472222222222222" right="0.472222222222222" top="0.236111111111111" bottom="0.472222222222222" header="0.314583333333333" footer="0.590277777777778"/>
  <pageSetup paperSize="9" firstPageNumber="40" orientation="landscape" useFirstPageNumber="1" horizontalDpi="600"/>
  <headerFooter alignWithMargins="0">
    <oddFooter>&amp;C40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"/>
  <sheetViews>
    <sheetView showZeros="0" workbookViewId="0">
      <selection activeCell="A2" sqref="A2:J2"/>
    </sheetView>
  </sheetViews>
  <sheetFormatPr defaultColWidth="9.125" defaultRowHeight="14"/>
  <cols>
    <col min="1" max="1" width="11.5" style="294" customWidth="1"/>
    <col min="2" max="2" width="16" style="409" customWidth="1"/>
    <col min="3" max="3" width="36.9166666666667" style="409" customWidth="1"/>
    <col min="4" max="4" width="9.33333333333333" style="294" customWidth="1"/>
    <col min="5" max="5" width="12.875" style="294" customWidth="1"/>
    <col min="6" max="6" width="8.5" style="409" customWidth="1"/>
    <col min="7" max="7" width="14.3333333333333" style="409" customWidth="1"/>
    <col min="8" max="8" width="13.75" style="409" customWidth="1"/>
    <col min="9" max="9" width="14.4166666666667" style="409" customWidth="1"/>
    <col min="10" max="10" width="6.375" style="294" customWidth="1"/>
    <col min="11" max="16384" width="9.125" style="294"/>
  </cols>
  <sheetData>
    <row r="1" ht="16.5" customHeight="1" spans="1:1">
      <c r="A1" s="111" t="s">
        <v>1091</v>
      </c>
    </row>
    <row r="2" ht="21.75" customHeight="1" spans="1:10">
      <c r="A2" s="410" t="s">
        <v>1092</v>
      </c>
      <c r="B2" s="410"/>
      <c r="C2" s="410"/>
      <c r="D2" s="411"/>
      <c r="E2" s="411"/>
      <c r="F2" s="411"/>
      <c r="G2" s="411"/>
      <c r="H2" s="411"/>
      <c r="I2" s="411"/>
      <c r="J2" s="410"/>
    </row>
    <row r="3" ht="20.25" customHeight="1" spans="1:10">
      <c r="A3" s="412"/>
      <c r="B3" s="412"/>
      <c r="C3" s="412"/>
      <c r="D3" s="412"/>
      <c r="E3" s="412"/>
      <c r="F3" s="412"/>
      <c r="G3" s="412"/>
      <c r="H3" s="412"/>
      <c r="I3" s="435" t="s">
        <v>36</v>
      </c>
      <c r="J3" s="435"/>
    </row>
    <row r="4" ht="21.75" customHeight="1" spans="1:10">
      <c r="A4" s="413" t="s">
        <v>1047</v>
      </c>
      <c r="B4" s="413" t="s">
        <v>1048</v>
      </c>
      <c r="C4" s="414" t="s">
        <v>1093</v>
      </c>
      <c r="D4" s="415" t="s">
        <v>1094</v>
      </c>
      <c r="E4" s="415" t="s">
        <v>1095</v>
      </c>
      <c r="F4" s="416" t="s">
        <v>1096</v>
      </c>
      <c r="G4" s="416"/>
      <c r="H4" s="416"/>
      <c r="I4" s="416"/>
      <c r="J4" s="415" t="s">
        <v>86</v>
      </c>
    </row>
    <row r="5" ht="42" spans="1:10">
      <c r="A5" s="417"/>
      <c r="B5" s="417"/>
      <c r="C5" s="414"/>
      <c r="D5" s="415"/>
      <c r="E5" s="415"/>
      <c r="F5" s="418" t="s">
        <v>1097</v>
      </c>
      <c r="G5" s="419" t="s">
        <v>1098</v>
      </c>
      <c r="H5" s="419" t="s">
        <v>1099</v>
      </c>
      <c r="I5" s="418" t="s">
        <v>1053</v>
      </c>
      <c r="J5" s="415"/>
    </row>
    <row r="6" s="407" customFormat="1" ht="16.5" customHeight="1" spans="1:10">
      <c r="A6" s="420" t="s">
        <v>1054</v>
      </c>
      <c r="B6" s="421"/>
      <c r="C6" s="422"/>
      <c r="D6" s="423">
        <f>+D7+D8+D9</f>
        <v>453833.3793</v>
      </c>
      <c r="E6" s="423">
        <f t="shared" ref="E6:E34" si="0">D6-F6-G6-H6-I6</f>
        <v>334340.6393</v>
      </c>
      <c r="F6" s="423">
        <f t="shared" ref="F6:I6" si="1">F7+F8+F9</f>
        <v>23722</v>
      </c>
      <c r="G6" s="423">
        <f t="shared" si="1"/>
        <v>44233</v>
      </c>
      <c r="H6" s="423">
        <f t="shared" si="1"/>
        <v>42158.36</v>
      </c>
      <c r="I6" s="423">
        <f t="shared" si="1"/>
        <v>9379.38</v>
      </c>
      <c r="J6" s="436"/>
    </row>
    <row r="7" s="408" customFormat="1" ht="17.1" customHeight="1" spans="1:10">
      <c r="A7" s="424" t="s">
        <v>1055</v>
      </c>
      <c r="B7" s="425"/>
      <c r="C7" s="424" t="s">
        <v>1056</v>
      </c>
      <c r="D7" s="423">
        <v>267821</v>
      </c>
      <c r="E7" s="423">
        <f t="shared" si="0"/>
        <v>206985</v>
      </c>
      <c r="F7" s="423">
        <v>23722</v>
      </c>
      <c r="G7" s="423">
        <v>37114</v>
      </c>
      <c r="H7" s="423"/>
      <c r="I7" s="437"/>
      <c r="J7" s="438"/>
    </row>
    <row r="8" s="408" customFormat="1" ht="17.1" customHeight="1" spans="1:10">
      <c r="A8" s="424" t="s">
        <v>1057</v>
      </c>
      <c r="B8" s="425"/>
      <c r="C8" s="426" t="s">
        <v>1058</v>
      </c>
      <c r="D8" s="423">
        <v>12362</v>
      </c>
      <c r="E8" s="423">
        <f t="shared" si="0"/>
        <v>10259</v>
      </c>
      <c r="F8" s="423"/>
      <c r="G8" s="423">
        <v>2103</v>
      </c>
      <c r="H8" s="423"/>
      <c r="I8" s="437"/>
      <c r="J8" s="438"/>
    </row>
    <row r="9" s="408" customFormat="1" ht="17.1" customHeight="1" spans="1:10">
      <c r="A9" s="427" t="s">
        <v>1100</v>
      </c>
      <c r="B9" s="425"/>
      <c r="C9" s="426" t="s">
        <v>1060</v>
      </c>
      <c r="D9" s="423">
        <f>SUM(D10:D34)</f>
        <v>173650.3793</v>
      </c>
      <c r="E9" s="423">
        <f t="shared" si="0"/>
        <v>117096.6393</v>
      </c>
      <c r="F9" s="423">
        <f t="shared" ref="F9:I9" si="2">SUM(F10:F34)</f>
        <v>0</v>
      </c>
      <c r="G9" s="423">
        <f t="shared" si="2"/>
        <v>5016</v>
      </c>
      <c r="H9" s="423">
        <f t="shared" si="2"/>
        <v>42158.36</v>
      </c>
      <c r="I9" s="423">
        <f t="shared" si="2"/>
        <v>9379.38</v>
      </c>
      <c r="J9" s="438"/>
    </row>
    <row r="10" spans="1:10">
      <c r="A10" s="427"/>
      <c r="B10" s="428" t="s">
        <v>1063</v>
      </c>
      <c r="C10" s="429" t="s">
        <v>1064</v>
      </c>
      <c r="D10" s="430">
        <v>472.23</v>
      </c>
      <c r="E10" s="430">
        <f t="shared" si="0"/>
        <v>472.23</v>
      </c>
      <c r="F10" s="431"/>
      <c r="G10" s="430"/>
      <c r="H10" s="430">
        <v>0</v>
      </c>
      <c r="I10" s="430">
        <v>0</v>
      </c>
      <c r="J10" s="273"/>
    </row>
    <row r="11" ht="17.1" customHeight="1" spans="1:10">
      <c r="A11" s="427"/>
      <c r="B11" s="428" t="s">
        <v>1063</v>
      </c>
      <c r="C11" s="429" t="s">
        <v>1065</v>
      </c>
      <c r="D11" s="430">
        <v>11437.55</v>
      </c>
      <c r="E11" s="430">
        <f t="shared" si="0"/>
        <v>11437.55</v>
      </c>
      <c r="F11" s="431"/>
      <c r="G11" s="430"/>
      <c r="H11" s="430">
        <v>0</v>
      </c>
      <c r="I11" s="430">
        <v>0</v>
      </c>
      <c r="J11" s="273"/>
    </row>
    <row r="12" ht="17.1" customHeight="1" spans="1:10">
      <c r="A12" s="427"/>
      <c r="B12" s="428" t="s">
        <v>1063</v>
      </c>
      <c r="C12" s="432" t="s">
        <v>1066</v>
      </c>
      <c r="D12" s="430">
        <v>1161.01</v>
      </c>
      <c r="E12" s="430">
        <f t="shared" si="0"/>
        <v>709.01</v>
      </c>
      <c r="F12" s="431"/>
      <c r="G12" s="430"/>
      <c r="H12" s="430">
        <v>452</v>
      </c>
      <c r="I12" s="430">
        <v>0</v>
      </c>
      <c r="J12" s="273"/>
    </row>
    <row r="13" ht="17.1" customHeight="1" spans="1:10">
      <c r="A13" s="427"/>
      <c r="B13" s="428" t="s">
        <v>1063</v>
      </c>
      <c r="C13" s="429" t="s">
        <v>1067</v>
      </c>
      <c r="D13" s="430">
        <v>282.03</v>
      </c>
      <c r="E13" s="430">
        <f t="shared" si="0"/>
        <v>282.03</v>
      </c>
      <c r="F13" s="431"/>
      <c r="G13" s="430"/>
      <c r="H13" s="430">
        <v>0</v>
      </c>
      <c r="I13" s="430">
        <v>0</v>
      </c>
      <c r="J13" s="273"/>
    </row>
    <row r="14" spans="1:10">
      <c r="A14" s="427"/>
      <c r="B14" s="428" t="s">
        <v>1063</v>
      </c>
      <c r="C14" s="429" t="s">
        <v>1068</v>
      </c>
      <c r="D14" s="430">
        <v>115.13</v>
      </c>
      <c r="E14" s="430">
        <f t="shared" si="0"/>
        <v>115.13</v>
      </c>
      <c r="F14" s="431"/>
      <c r="G14" s="430"/>
      <c r="H14" s="430">
        <v>0</v>
      </c>
      <c r="I14" s="430">
        <v>0</v>
      </c>
      <c r="J14" s="273"/>
    </row>
    <row r="15" ht="17.1" customHeight="1" spans="1:10">
      <c r="A15" s="427"/>
      <c r="B15" s="428" t="s">
        <v>1063</v>
      </c>
      <c r="C15" s="429" t="s">
        <v>1069</v>
      </c>
      <c r="D15" s="430">
        <v>484.25</v>
      </c>
      <c r="E15" s="430">
        <f t="shared" si="0"/>
        <v>484.25</v>
      </c>
      <c r="F15" s="431"/>
      <c r="G15" s="430"/>
      <c r="H15" s="430">
        <v>0</v>
      </c>
      <c r="I15" s="430">
        <v>0</v>
      </c>
      <c r="J15" s="273"/>
    </row>
    <row r="16" ht="17.1" customHeight="1" spans="1:10">
      <c r="A16" s="427"/>
      <c r="B16" s="428" t="s">
        <v>1063</v>
      </c>
      <c r="C16" s="429" t="s">
        <v>1070</v>
      </c>
      <c r="D16" s="430">
        <v>3372.81</v>
      </c>
      <c r="E16" s="430">
        <f t="shared" si="0"/>
        <v>3372.81</v>
      </c>
      <c r="F16" s="431"/>
      <c r="G16" s="430"/>
      <c r="H16" s="430">
        <v>0</v>
      </c>
      <c r="I16" s="430">
        <v>0</v>
      </c>
      <c r="J16" s="273"/>
    </row>
    <row r="17" ht="17.1" customHeight="1" spans="1:10">
      <c r="A17" s="427"/>
      <c r="B17" s="428" t="s">
        <v>1063</v>
      </c>
      <c r="C17" s="429" t="s">
        <v>1071</v>
      </c>
      <c r="D17" s="430">
        <v>400</v>
      </c>
      <c r="E17" s="430">
        <f t="shared" si="0"/>
        <v>400</v>
      </c>
      <c r="F17" s="431"/>
      <c r="G17" s="430"/>
      <c r="H17" s="430">
        <v>0</v>
      </c>
      <c r="I17" s="430">
        <v>0</v>
      </c>
      <c r="J17" s="273"/>
    </row>
    <row r="18" ht="17.1" customHeight="1" spans="1:10">
      <c r="A18" s="427"/>
      <c r="B18" s="428" t="s">
        <v>1072</v>
      </c>
      <c r="C18" s="432" t="s">
        <v>1073</v>
      </c>
      <c r="D18" s="430">
        <v>127.5</v>
      </c>
      <c r="E18" s="430">
        <f t="shared" si="0"/>
        <v>127.5</v>
      </c>
      <c r="F18" s="431"/>
      <c r="G18" s="430"/>
      <c r="H18" s="430">
        <v>0</v>
      </c>
      <c r="I18" s="430">
        <v>0</v>
      </c>
      <c r="J18" s="273"/>
    </row>
    <row r="19" ht="17.1" customHeight="1" spans="1:10">
      <c r="A19" s="427"/>
      <c r="B19" s="428" t="s">
        <v>1074</v>
      </c>
      <c r="C19" s="429" t="s">
        <v>1075</v>
      </c>
      <c r="D19" s="430">
        <v>15637.3</v>
      </c>
      <c r="E19" s="430">
        <f t="shared" si="0"/>
        <v>15637.3</v>
      </c>
      <c r="F19" s="431"/>
      <c r="G19" s="430"/>
      <c r="H19" s="430">
        <v>0</v>
      </c>
      <c r="I19" s="430">
        <v>0</v>
      </c>
      <c r="J19" s="273"/>
    </row>
    <row r="20" ht="17.1" customHeight="1" spans="1:10">
      <c r="A20" s="427"/>
      <c r="B20" s="428" t="s">
        <v>1074</v>
      </c>
      <c r="C20" s="429" t="s">
        <v>1076</v>
      </c>
      <c r="D20" s="430">
        <v>2723</v>
      </c>
      <c r="E20" s="430">
        <f t="shared" si="0"/>
        <v>2723</v>
      </c>
      <c r="F20" s="431"/>
      <c r="G20" s="430"/>
      <c r="H20" s="430">
        <v>0</v>
      </c>
      <c r="I20" s="430">
        <v>0</v>
      </c>
      <c r="J20" s="273"/>
    </row>
    <row r="21" ht="17.1" customHeight="1" spans="1:10">
      <c r="A21" s="427"/>
      <c r="B21" s="428" t="s">
        <v>1074</v>
      </c>
      <c r="C21" s="429" t="s">
        <v>1077</v>
      </c>
      <c r="D21" s="430">
        <v>51832</v>
      </c>
      <c r="E21" s="430">
        <f t="shared" si="0"/>
        <v>22000</v>
      </c>
      <c r="F21" s="431"/>
      <c r="G21" s="430"/>
      <c r="H21" s="430">
        <v>29832</v>
      </c>
      <c r="I21" s="430">
        <v>0</v>
      </c>
      <c r="J21" s="273"/>
    </row>
    <row r="22" ht="17.1" customHeight="1" spans="1:10">
      <c r="A22" s="427"/>
      <c r="B22" s="425" t="s">
        <v>1074</v>
      </c>
      <c r="C22" s="433" t="s">
        <v>1078</v>
      </c>
      <c r="D22" s="430">
        <v>203.2</v>
      </c>
      <c r="E22" s="430"/>
      <c r="F22" s="431"/>
      <c r="G22" s="430"/>
      <c r="H22" s="430">
        <v>0</v>
      </c>
      <c r="I22" s="430">
        <v>0</v>
      </c>
      <c r="J22" s="273"/>
    </row>
    <row r="23" ht="17.1" customHeight="1" spans="1:10">
      <c r="A23" s="427"/>
      <c r="B23" s="428" t="s">
        <v>1074</v>
      </c>
      <c r="C23" s="432" t="s">
        <v>1079</v>
      </c>
      <c r="D23" s="430">
        <v>5500</v>
      </c>
      <c r="E23" s="430">
        <f t="shared" si="0"/>
        <v>5500</v>
      </c>
      <c r="F23" s="431"/>
      <c r="G23" s="430"/>
      <c r="H23" s="430">
        <v>0</v>
      </c>
      <c r="I23" s="430">
        <v>0</v>
      </c>
      <c r="J23" s="273"/>
    </row>
    <row r="24" ht="17.1" customHeight="1" spans="1:10">
      <c r="A24" s="427"/>
      <c r="B24" s="428" t="s">
        <v>1074</v>
      </c>
      <c r="C24" s="429" t="s">
        <v>1080</v>
      </c>
      <c r="D24" s="430">
        <v>555.2</v>
      </c>
      <c r="E24" s="430">
        <f t="shared" si="0"/>
        <v>555.2</v>
      </c>
      <c r="F24" s="431"/>
      <c r="G24" s="430"/>
      <c r="H24" s="430">
        <v>0</v>
      </c>
      <c r="I24" s="430">
        <v>0</v>
      </c>
      <c r="J24" s="273"/>
    </row>
    <row r="25" ht="17.1" customHeight="1" spans="1:10">
      <c r="A25" s="427"/>
      <c r="B25" s="428" t="s">
        <v>1074</v>
      </c>
      <c r="C25" s="429" t="s">
        <v>1081</v>
      </c>
      <c r="D25" s="430">
        <v>0</v>
      </c>
      <c r="E25" s="430">
        <f t="shared" si="0"/>
        <v>0</v>
      </c>
      <c r="F25" s="431"/>
      <c r="G25" s="430"/>
      <c r="H25" s="430">
        <v>0</v>
      </c>
      <c r="I25" s="430">
        <v>0</v>
      </c>
      <c r="J25" s="273"/>
    </row>
    <row r="26" ht="17.1" customHeight="1" spans="1:10">
      <c r="A26" s="427"/>
      <c r="B26" s="428" t="s">
        <v>1074</v>
      </c>
      <c r="C26" s="429" t="s">
        <v>1083</v>
      </c>
      <c r="D26" s="430">
        <v>7184.15</v>
      </c>
      <c r="E26" s="430">
        <f t="shared" si="0"/>
        <v>1988</v>
      </c>
      <c r="F26" s="431"/>
      <c r="G26" s="430"/>
      <c r="H26" s="430">
        <v>0</v>
      </c>
      <c r="I26" s="430">
        <v>5196.15</v>
      </c>
      <c r="J26" s="273"/>
    </row>
    <row r="27" ht="17.1" customHeight="1" spans="1:10">
      <c r="A27" s="427"/>
      <c r="B27" s="428" t="s">
        <v>1074</v>
      </c>
      <c r="C27" s="429" t="s">
        <v>1084</v>
      </c>
      <c r="D27" s="430">
        <v>3290</v>
      </c>
      <c r="E27" s="430">
        <f t="shared" si="0"/>
        <v>2586</v>
      </c>
      <c r="F27" s="431"/>
      <c r="G27" s="430"/>
      <c r="H27" s="430">
        <v>0</v>
      </c>
      <c r="I27" s="430">
        <v>704</v>
      </c>
      <c r="J27" s="273"/>
    </row>
    <row r="28" ht="17.1" customHeight="1" spans="1:10">
      <c r="A28" s="427"/>
      <c r="B28" s="428" t="s">
        <v>1085</v>
      </c>
      <c r="C28" s="429" t="s">
        <v>1086</v>
      </c>
      <c r="D28" s="430">
        <v>134.28</v>
      </c>
      <c r="E28" s="430">
        <f t="shared" si="0"/>
        <v>0</v>
      </c>
      <c r="F28" s="431"/>
      <c r="G28" s="430"/>
      <c r="H28" s="430">
        <v>0</v>
      </c>
      <c r="I28" s="430">
        <v>134.28</v>
      </c>
      <c r="J28" s="273"/>
    </row>
    <row r="29" ht="17.1" customHeight="1" spans="1:10">
      <c r="A29" s="427"/>
      <c r="B29" s="428" t="s">
        <v>1085</v>
      </c>
      <c r="C29" s="429" t="s">
        <v>1087</v>
      </c>
      <c r="D29" s="430">
        <v>33315</v>
      </c>
      <c r="E29" s="430">
        <f t="shared" si="0"/>
        <v>23249</v>
      </c>
      <c r="F29" s="431"/>
      <c r="G29" s="430"/>
      <c r="H29" s="430">
        <v>10066</v>
      </c>
      <c r="I29" s="430">
        <v>0</v>
      </c>
      <c r="J29" s="273"/>
    </row>
    <row r="30" ht="17.1" customHeight="1" spans="1:10">
      <c r="A30" s="427"/>
      <c r="B30" s="428" t="s">
        <v>1085</v>
      </c>
      <c r="C30" s="429" t="s">
        <v>563</v>
      </c>
      <c r="D30" s="430">
        <v>6483.9973</v>
      </c>
      <c r="E30" s="430">
        <f t="shared" si="0"/>
        <v>4675.6373</v>
      </c>
      <c r="F30" s="431"/>
      <c r="G30" s="430"/>
      <c r="H30" s="430">
        <v>1808.36</v>
      </c>
      <c r="I30" s="430">
        <v>0</v>
      </c>
      <c r="J30" s="273"/>
    </row>
    <row r="31" ht="17.1" customHeight="1" spans="1:10">
      <c r="A31" s="427"/>
      <c r="B31" s="428" t="s">
        <v>1085</v>
      </c>
      <c r="C31" s="429" t="s">
        <v>1088</v>
      </c>
      <c r="D31" s="430">
        <v>1635.628</v>
      </c>
      <c r="E31" s="430">
        <f t="shared" si="0"/>
        <v>1635.628</v>
      </c>
      <c r="F31" s="431"/>
      <c r="G31" s="430"/>
      <c r="H31" s="430">
        <v>0</v>
      </c>
      <c r="I31" s="430">
        <v>0</v>
      </c>
      <c r="J31" s="273"/>
    </row>
    <row r="32" ht="17.1" customHeight="1" spans="1:10">
      <c r="A32" s="427"/>
      <c r="B32" s="428" t="s">
        <v>1085</v>
      </c>
      <c r="C32" s="429" t="s">
        <v>588</v>
      </c>
      <c r="D32" s="430">
        <v>1320</v>
      </c>
      <c r="E32" s="430">
        <f t="shared" si="0"/>
        <v>1320</v>
      </c>
      <c r="F32" s="431"/>
      <c r="G32" s="430"/>
      <c r="H32" s="430">
        <v>0</v>
      </c>
      <c r="I32" s="430">
        <v>0</v>
      </c>
      <c r="J32" s="273"/>
    </row>
    <row r="33" ht="17.1" customHeight="1" spans="1:10">
      <c r="A33" s="427"/>
      <c r="B33" s="428" t="s">
        <v>1089</v>
      </c>
      <c r="C33" s="429" t="s">
        <v>1089</v>
      </c>
      <c r="D33" s="430">
        <v>6508.48</v>
      </c>
      <c r="E33" s="430">
        <f t="shared" si="0"/>
        <v>2941.48</v>
      </c>
      <c r="F33" s="431"/>
      <c r="G33" s="430">
        <v>1990</v>
      </c>
      <c r="H33" s="430">
        <v>0</v>
      </c>
      <c r="I33" s="430">
        <v>1577</v>
      </c>
      <c r="J33" s="273"/>
    </row>
    <row r="34" ht="17.1" customHeight="1" spans="1:10">
      <c r="A34" s="427"/>
      <c r="B34" s="428" t="s">
        <v>1090</v>
      </c>
      <c r="C34" s="429" t="s">
        <v>1090</v>
      </c>
      <c r="D34" s="430">
        <v>19475.634</v>
      </c>
      <c r="E34" s="430">
        <f t="shared" si="0"/>
        <v>14681.684</v>
      </c>
      <c r="F34" s="431"/>
      <c r="G34" s="430">
        <v>3026</v>
      </c>
      <c r="H34" s="430">
        <v>0</v>
      </c>
      <c r="I34" s="430">
        <v>1767.95</v>
      </c>
      <c r="J34" s="273"/>
    </row>
    <row r="35" spans="5:5">
      <c r="E35" s="434"/>
    </row>
  </sheetData>
  <mergeCells count="11">
    <mergeCell ref="A2:J2"/>
    <mergeCell ref="I3:J3"/>
    <mergeCell ref="F4:I4"/>
    <mergeCell ref="A6:C6"/>
    <mergeCell ref="A4:A5"/>
    <mergeCell ref="A9:A34"/>
    <mergeCell ref="B4:B5"/>
    <mergeCell ref="C4:C5"/>
    <mergeCell ref="D4:D5"/>
    <mergeCell ref="E4:E5"/>
    <mergeCell ref="J4:J5"/>
  </mergeCells>
  <printOptions horizontalCentered="1"/>
  <pageMargins left="0.472222222222222" right="0.472222222222222" top="0.236111111111111" bottom="0.66875" header="0.314583333333333" footer="0.590277777777778"/>
  <pageSetup paperSize="9" scale="88" firstPageNumber="41" orientation="landscape" useFirstPageNumber="1" horizontalDpi="600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workbookViewId="0">
      <selection activeCell="A3" sqref="A3:K5"/>
    </sheetView>
  </sheetViews>
  <sheetFormatPr defaultColWidth="9.125" defaultRowHeight="12.5"/>
  <cols>
    <col min="1" max="2" width="11.375" style="359" customWidth="1"/>
    <col min="3" max="5" width="11.375" style="296" customWidth="1"/>
    <col min="6" max="9" width="11.375" style="359" customWidth="1"/>
    <col min="10" max="16384" width="9.125" style="359"/>
  </cols>
  <sheetData>
    <row r="1" ht="21.75" customHeight="1" spans="1:2">
      <c r="A1" s="392"/>
      <c r="B1" s="393"/>
    </row>
    <row r="2" ht="35.25" customHeight="1"/>
    <row r="3" ht="28.5" customHeight="1" spans="1:11">
      <c r="A3" s="394" t="s">
        <v>7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</row>
    <row r="4" ht="12.2" customHeight="1" spans="1:11">
      <c r="A4" s="395"/>
      <c r="B4" s="395"/>
      <c r="C4" s="396"/>
      <c r="D4" s="396"/>
      <c r="E4" s="396"/>
      <c r="F4" s="395"/>
      <c r="G4" s="395"/>
      <c r="H4" s="395"/>
      <c r="I4" s="395"/>
      <c r="J4" s="395"/>
      <c r="K4" s="395"/>
    </row>
    <row r="5" ht="44.25" customHeight="1" spans="1:11">
      <c r="A5" s="394" t="s">
        <v>1101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</row>
    <row r="6" ht="21.6" customHeight="1"/>
    <row r="7" ht="21.6" customHeight="1"/>
    <row r="8" ht="21.6" customHeight="1"/>
    <row r="9" ht="16.5" customHeight="1"/>
    <row r="10" ht="20.45" customHeight="1"/>
    <row r="11" ht="12.2" customHeight="1"/>
    <row r="12" ht="26.25" customHeight="1" spans="1:9">
      <c r="A12" s="397" t="s">
        <v>15</v>
      </c>
      <c r="B12" s="397"/>
      <c r="C12" s="398"/>
      <c r="D12" s="398"/>
      <c r="E12" s="399" t="s">
        <v>1</v>
      </c>
      <c r="F12" s="400"/>
      <c r="G12" s="400"/>
      <c r="H12" s="397"/>
      <c r="I12" s="397"/>
    </row>
    <row r="13" ht="17.25" customHeight="1" spans="2:9">
      <c r="B13" s="401"/>
      <c r="C13" s="402"/>
      <c r="D13" s="402"/>
      <c r="E13" s="402"/>
      <c r="F13" s="403"/>
      <c r="G13" s="296"/>
      <c r="H13" s="296"/>
      <c r="I13" s="296"/>
    </row>
    <row r="14" ht="27" customHeight="1" spans="1:9">
      <c r="A14" s="404" t="s">
        <v>3</v>
      </c>
      <c r="B14" s="404"/>
      <c r="C14" s="405"/>
      <c r="D14" s="405"/>
      <c r="E14" s="405" t="s">
        <v>2</v>
      </c>
      <c r="F14" s="406"/>
      <c r="G14" s="406"/>
      <c r="H14" s="404"/>
      <c r="I14" s="404"/>
    </row>
  </sheetData>
  <mergeCells count="3">
    <mergeCell ref="A1:B1"/>
    <mergeCell ref="A3:K3"/>
    <mergeCell ref="A5:K5"/>
  </mergeCells>
  <printOptions horizontalCentered="1"/>
  <pageMargins left="0.747916666666667" right="0.747916666666667" top="0.984027777777778" bottom="0.984027777777778" header="0.511805555555556" footer="0.590277777777778"/>
  <pageSetup paperSize="9" firstPageNumber="42" orientation="landscape" useFirstPageNumber="1" horizontalDpi="600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workbookViewId="0">
      <selection activeCell="A2" sqref="A2:C2"/>
    </sheetView>
  </sheetViews>
  <sheetFormatPr defaultColWidth="9.125" defaultRowHeight="14.25" customHeight="1" outlineLevelCol="4"/>
  <cols>
    <col min="1" max="1" width="6.25" style="359" customWidth="1"/>
    <col min="2" max="2" width="71" style="359" customWidth="1"/>
    <col min="3" max="3" width="13.75" style="380" customWidth="1"/>
    <col min="4" max="4" width="7.375" style="296" customWidth="1"/>
    <col min="5" max="5" width="9.125" style="296"/>
    <col min="6" max="16384" width="9.125" style="359"/>
  </cols>
  <sheetData>
    <row r="1" ht="22.5" customHeight="1" spans="1:4">
      <c r="A1" s="381"/>
      <c r="B1" s="381"/>
      <c r="C1" s="382"/>
      <c r="D1" s="383"/>
    </row>
    <row r="2" ht="45" customHeight="1" spans="1:4">
      <c r="A2" s="384" t="s">
        <v>4</v>
      </c>
      <c r="B2" s="384"/>
      <c r="C2" s="384"/>
      <c r="D2" s="385"/>
    </row>
    <row r="3" ht="22.5" customHeight="1" spans="1:4">
      <c r="A3" s="381"/>
      <c r="B3" s="381"/>
      <c r="C3" s="382"/>
      <c r="D3" s="383"/>
    </row>
    <row r="4" ht="44.25" customHeight="1" spans="1:4">
      <c r="A4" s="381"/>
      <c r="B4" s="386" t="s">
        <v>1102</v>
      </c>
      <c r="C4" s="387" t="s">
        <v>17</v>
      </c>
      <c r="D4" s="388"/>
    </row>
    <row r="5" ht="46.5" customHeight="1" spans="1:4">
      <c r="A5" s="381"/>
      <c r="B5" s="386" t="s">
        <v>1103</v>
      </c>
      <c r="C5" s="387" t="s">
        <v>19</v>
      </c>
      <c r="D5" s="388"/>
    </row>
    <row r="6" ht="45" customHeight="1" spans="1:5">
      <c r="A6" s="381"/>
      <c r="B6" s="386" t="s">
        <v>1104</v>
      </c>
      <c r="C6" s="389" t="s">
        <v>21</v>
      </c>
      <c r="D6" s="388"/>
      <c r="E6" s="390"/>
    </row>
    <row r="7" ht="44.25" customHeight="1" spans="1:4">
      <c r="A7" s="381"/>
      <c r="B7" s="386" t="s">
        <v>1105</v>
      </c>
      <c r="C7" s="387" t="s">
        <v>23</v>
      </c>
      <c r="D7" s="388"/>
    </row>
    <row r="8" ht="30" customHeight="1" spans="1:4">
      <c r="A8" s="381"/>
      <c r="C8" s="382"/>
      <c r="D8" s="391"/>
    </row>
    <row r="9" ht="30" customHeight="1" spans="1:4">
      <c r="A9" s="381"/>
      <c r="D9" s="391"/>
    </row>
    <row r="10" ht="30" customHeight="1" spans="1:4">
      <c r="A10" s="381"/>
      <c r="D10" s="391"/>
    </row>
    <row r="11" ht="30" customHeight="1" spans="1:4">
      <c r="A11" s="381"/>
      <c r="D11" s="391"/>
    </row>
    <row r="12" ht="30" customHeight="1" spans="1:4">
      <c r="A12" s="381"/>
      <c r="D12" s="391"/>
    </row>
    <row r="13" ht="30" customHeight="1" spans="1:4">
      <c r="A13" s="381"/>
      <c r="B13" s="381"/>
      <c r="C13" s="382"/>
      <c r="D13" s="391"/>
    </row>
  </sheetData>
  <mergeCells count="1">
    <mergeCell ref="A2:C2"/>
  </mergeCells>
  <printOptions horizontalCentered="1"/>
  <pageMargins left="0.472222222222222" right="0.590277777777778" top="0.786805555555556" bottom="0.984027777777778" header="0.511805555555556" footer="0.590277777777778"/>
  <pageSetup paperSize="9" firstPageNumber="43" orientation="landscape" useFirstPageNumber="1" horizontalDpi="600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1"/>
  <sheetViews>
    <sheetView showZeros="0" workbookViewId="0">
      <selection activeCell="B1" sqref="B$1:B$1048576"/>
    </sheetView>
  </sheetViews>
  <sheetFormatPr defaultColWidth="9" defaultRowHeight="12.5" outlineLevelCol="6"/>
  <cols>
    <col min="1" max="1" width="33.125" style="359" customWidth="1"/>
    <col min="2" max="2" width="9.58333333333333" style="359" customWidth="1"/>
    <col min="3" max="3" width="9.83333333333333" style="296" customWidth="1"/>
    <col min="4" max="4" width="9.625" style="296" customWidth="1"/>
    <col min="5" max="5" width="8.5" style="314" customWidth="1"/>
    <col min="6" max="6" width="10.5" style="359" customWidth="1"/>
    <col min="7" max="7" width="7.25" style="359" customWidth="1"/>
    <col min="8" max="16384" width="9" style="359"/>
  </cols>
  <sheetData>
    <row r="1" ht="21.95" customHeight="1" spans="1:7">
      <c r="A1" t="s">
        <v>34</v>
      </c>
      <c r="B1"/>
      <c r="C1" s="111"/>
      <c r="D1" s="111"/>
      <c r="E1" s="315"/>
      <c r="F1" s="360"/>
      <c r="G1" s="360"/>
    </row>
    <row r="2" ht="30.75" customHeight="1" spans="1:7">
      <c r="A2" s="361" t="s">
        <v>1106</v>
      </c>
      <c r="B2" s="361"/>
      <c r="C2" s="361"/>
      <c r="D2" s="361"/>
      <c r="E2" s="361"/>
      <c r="F2" s="361"/>
      <c r="G2" s="361"/>
    </row>
    <row r="3" s="356" customFormat="1" ht="16.5" customHeight="1" spans="1:7">
      <c r="A3" s="111"/>
      <c r="B3" s="111"/>
      <c r="C3" s="111"/>
      <c r="D3" s="111"/>
      <c r="E3" s="299"/>
      <c r="F3" s="362" t="s">
        <v>36</v>
      </c>
      <c r="G3" s="362"/>
    </row>
    <row r="4" s="356" customFormat="1" ht="32.1" customHeight="1" spans="1:7">
      <c r="A4" s="363" t="s">
        <v>1107</v>
      </c>
      <c r="B4" s="364" t="s">
        <v>38</v>
      </c>
      <c r="C4" s="319" t="s">
        <v>1108</v>
      </c>
      <c r="D4" s="319" t="s">
        <v>1109</v>
      </c>
      <c r="E4" s="364" t="s">
        <v>41</v>
      </c>
      <c r="F4" s="364"/>
      <c r="G4" s="365"/>
    </row>
    <row r="5" s="356" customFormat="1" ht="35.25" customHeight="1" spans="1:7">
      <c r="A5" s="366"/>
      <c r="B5" s="367"/>
      <c r="C5" s="300"/>
      <c r="D5" s="300"/>
      <c r="E5" s="300" t="s">
        <v>42</v>
      </c>
      <c r="F5" s="368" t="s">
        <v>43</v>
      </c>
      <c r="G5" s="369" t="s">
        <v>44</v>
      </c>
    </row>
    <row r="6" s="294" customFormat="1" ht="39.95" customHeight="1" spans="1:7">
      <c r="A6" s="370" t="s">
        <v>1110</v>
      </c>
      <c r="B6" s="267">
        <f>SUM(B7:B15)-B12-B11</f>
        <v>357639</v>
      </c>
      <c r="C6" s="267">
        <f>SUM(C7:C14)-C12-C11</f>
        <v>521000</v>
      </c>
      <c r="D6" s="267">
        <f>SUM(D7:D14)-D12-D11</f>
        <v>317000</v>
      </c>
      <c r="E6" s="267">
        <f>SUM(E7:E14)-E12-E11</f>
        <v>317000</v>
      </c>
      <c r="F6" s="268">
        <f t="shared" ref="F6:F14" si="0">E6/D6*100</f>
        <v>100</v>
      </c>
      <c r="G6" s="371">
        <f t="shared" ref="G6:G14" si="1">(E6/B6-1)*100</f>
        <v>-11.3631343337835</v>
      </c>
    </row>
    <row r="7" s="357" customFormat="1" ht="39.95" customHeight="1" spans="1:7">
      <c r="A7" s="372" t="s">
        <v>1111</v>
      </c>
      <c r="B7" s="373">
        <v>2897</v>
      </c>
      <c r="C7" s="275">
        <v>2000</v>
      </c>
      <c r="D7" s="275">
        <v>1500</v>
      </c>
      <c r="E7" s="275">
        <v>1500</v>
      </c>
      <c r="F7" s="276">
        <f t="shared" si="0"/>
        <v>100</v>
      </c>
      <c r="G7" s="374">
        <f t="shared" si="1"/>
        <v>-48.2222989299275</v>
      </c>
    </row>
    <row r="8" s="357" customFormat="1" ht="39.95" customHeight="1" spans="1:7">
      <c r="A8" s="372" t="s">
        <v>1112</v>
      </c>
      <c r="B8" s="373">
        <v>688</v>
      </c>
      <c r="C8" s="275">
        <v>500</v>
      </c>
      <c r="D8" s="275">
        <v>300</v>
      </c>
      <c r="E8" s="275">
        <v>300</v>
      </c>
      <c r="F8" s="276">
        <f t="shared" si="0"/>
        <v>100</v>
      </c>
      <c r="G8" s="374">
        <f t="shared" si="1"/>
        <v>-56.3953488372093</v>
      </c>
    </row>
    <row r="9" s="357" customFormat="1" ht="39.95" customHeight="1" spans="1:7">
      <c r="A9" s="372" t="s">
        <v>1113</v>
      </c>
      <c r="B9" s="373">
        <v>334414</v>
      </c>
      <c r="C9" s="275">
        <v>497500</v>
      </c>
      <c r="D9" s="275">
        <v>298200</v>
      </c>
      <c r="E9" s="275">
        <v>298200</v>
      </c>
      <c r="F9" s="276">
        <f t="shared" si="0"/>
        <v>100</v>
      </c>
      <c r="G9" s="374">
        <f t="shared" si="1"/>
        <v>-10.8290920834654</v>
      </c>
    </row>
    <row r="10" s="357" customFormat="1" ht="39.95" customHeight="1" spans="1:7">
      <c r="A10" s="372" t="s">
        <v>1114</v>
      </c>
      <c r="B10" s="373">
        <v>3245</v>
      </c>
      <c r="C10" s="275">
        <f>C11+C12</f>
        <v>3000</v>
      </c>
      <c r="D10" s="275">
        <f>D11+D12</f>
        <v>4000</v>
      </c>
      <c r="E10" s="275">
        <f>E11+E12</f>
        <v>4000</v>
      </c>
      <c r="F10" s="276">
        <f t="shared" si="0"/>
        <v>100</v>
      </c>
      <c r="G10" s="374">
        <f t="shared" si="1"/>
        <v>23.26656394453</v>
      </c>
    </row>
    <row r="11" s="357" customFormat="1" ht="39.95" customHeight="1" spans="1:7">
      <c r="A11" s="372" t="s">
        <v>1115</v>
      </c>
      <c r="B11" s="373">
        <v>1544</v>
      </c>
      <c r="C11" s="275">
        <v>1400</v>
      </c>
      <c r="D11" s="275">
        <v>1700</v>
      </c>
      <c r="E11" s="275">
        <v>1700</v>
      </c>
      <c r="F11" s="276">
        <f t="shared" si="0"/>
        <v>100</v>
      </c>
      <c r="G11" s="374">
        <f t="shared" si="1"/>
        <v>10.1036269430052</v>
      </c>
    </row>
    <row r="12" s="357" customFormat="1" ht="39.95" customHeight="1" spans="1:7">
      <c r="A12" s="372" t="s">
        <v>1116</v>
      </c>
      <c r="B12" s="373">
        <v>1701</v>
      </c>
      <c r="C12" s="275">
        <v>1600</v>
      </c>
      <c r="D12" s="275">
        <v>2300</v>
      </c>
      <c r="E12" s="275">
        <v>2300</v>
      </c>
      <c r="F12" s="276">
        <f t="shared" si="0"/>
        <v>100</v>
      </c>
      <c r="G12" s="374">
        <f t="shared" si="1"/>
        <v>35.2145796590241</v>
      </c>
    </row>
    <row r="13" s="294" customFormat="1" ht="39.95" customHeight="1" spans="1:7">
      <c r="A13" s="372" t="s">
        <v>1117</v>
      </c>
      <c r="B13" s="275">
        <v>13715</v>
      </c>
      <c r="C13" s="275">
        <v>15000</v>
      </c>
      <c r="D13" s="275">
        <v>10000</v>
      </c>
      <c r="E13" s="275">
        <v>10000</v>
      </c>
      <c r="F13" s="276">
        <f t="shared" si="0"/>
        <v>100</v>
      </c>
      <c r="G13" s="374">
        <f t="shared" si="1"/>
        <v>-27.0871308786001</v>
      </c>
    </row>
    <row r="14" s="294" customFormat="1" ht="39.95" customHeight="1" spans="1:7">
      <c r="A14" s="372" t="s">
        <v>1118</v>
      </c>
      <c r="B14" s="275">
        <v>2670</v>
      </c>
      <c r="C14" s="275">
        <v>3000</v>
      </c>
      <c r="D14" s="275">
        <v>3000</v>
      </c>
      <c r="E14" s="275">
        <v>3000</v>
      </c>
      <c r="F14" s="276">
        <f t="shared" si="0"/>
        <v>100</v>
      </c>
      <c r="G14" s="374">
        <f t="shared" si="1"/>
        <v>12.3595505617978</v>
      </c>
    </row>
    <row r="15" s="294" customFormat="1" ht="39.95" customHeight="1" spans="1:7">
      <c r="A15" s="372" t="s">
        <v>1119</v>
      </c>
      <c r="B15" s="275">
        <v>10</v>
      </c>
      <c r="C15" s="275"/>
      <c r="D15" s="275"/>
      <c r="E15" s="275"/>
      <c r="F15" s="276"/>
      <c r="G15" s="374"/>
    </row>
    <row r="16" s="294" customFormat="1" ht="39.95" customHeight="1" spans="1:7">
      <c r="A16" s="375" t="s">
        <v>1120</v>
      </c>
      <c r="B16" s="267">
        <f>B17</f>
        <v>183288</v>
      </c>
      <c r="C16" s="267">
        <f>C17</f>
        <v>0</v>
      </c>
      <c r="D16" s="267">
        <f>D17</f>
        <v>254400</v>
      </c>
      <c r="E16" s="267">
        <f>E17</f>
        <v>254400</v>
      </c>
      <c r="F16" s="268">
        <f>E16/D16*100</f>
        <v>100</v>
      </c>
      <c r="G16" s="374"/>
    </row>
    <row r="17" s="294" customFormat="1" ht="39.95" customHeight="1" spans="1:7">
      <c r="A17" s="376" t="s">
        <v>1121</v>
      </c>
      <c r="B17" s="377">
        <v>183288</v>
      </c>
      <c r="C17" s="275"/>
      <c r="D17" s="275">
        <v>254400</v>
      </c>
      <c r="E17" s="275">
        <v>254400</v>
      </c>
      <c r="F17" s="276">
        <f>E17/D17*100</f>
        <v>100</v>
      </c>
      <c r="G17" s="374"/>
    </row>
    <row r="18" s="358" customFormat="1" ht="39.95" customHeight="1" spans="1:7">
      <c r="A18" s="378" t="s">
        <v>1122</v>
      </c>
      <c r="B18" s="351">
        <f>B6+B16</f>
        <v>540927</v>
      </c>
      <c r="C18" s="351">
        <f>C6+C16</f>
        <v>521000</v>
      </c>
      <c r="D18" s="351">
        <f>D6+D16</f>
        <v>571400</v>
      </c>
      <c r="E18" s="351">
        <f>E6+E16</f>
        <v>571400</v>
      </c>
      <c r="F18" s="351">
        <f>E18/D18*100</f>
        <v>100</v>
      </c>
      <c r="G18" s="379">
        <f>(E18/B18-1)*100</f>
        <v>5.63347734537192</v>
      </c>
    </row>
    <row r="20" spans="4:4">
      <c r="D20" s="354"/>
    </row>
    <row r="21" spans="5:5">
      <c r="E21" s="355"/>
    </row>
  </sheetData>
  <mergeCells count="7">
    <mergeCell ref="A2:G2"/>
    <mergeCell ref="F3:G3"/>
    <mergeCell ref="E4:G4"/>
    <mergeCell ref="A4:A5"/>
    <mergeCell ref="B4:B5"/>
    <mergeCell ref="C4:C5"/>
    <mergeCell ref="D4:D5"/>
  </mergeCells>
  <printOptions horizontalCentered="1"/>
  <pageMargins left="0.393055555555556" right="0.472222222222222" top="0.786805555555556" bottom="0.786805555555556" header="0.550694444444444" footer="0.590277777777778"/>
  <pageSetup paperSize="9" firstPageNumber="44" fitToHeight="0" orientation="portrait" useFirstPageNumber="1" horizontalDpi="600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3"/>
  <sheetViews>
    <sheetView showZeros="0" view="pageBreakPreview" zoomScaleNormal="100" workbookViewId="0">
      <pane xSplit="1" ySplit="5" topLeftCell="B6" activePane="bottomRight" state="frozen"/>
      <selection/>
      <selection pane="topRight"/>
      <selection pane="bottomLeft"/>
      <selection pane="bottomRight" activeCell="A53" sqref="A53"/>
    </sheetView>
  </sheetViews>
  <sheetFormatPr defaultColWidth="9" defaultRowHeight="21.95" customHeight="1"/>
  <cols>
    <col min="1" max="1" width="42.1666666666667" style="296" customWidth="1"/>
    <col min="2" max="2" width="8.66666666666667" style="296" customWidth="1"/>
    <col min="3" max="3" width="9.66666666666667" style="296" customWidth="1"/>
    <col min="4" max="4" width="10.075" style="314" customWidth="1"/>
    <col min="5" max="5" width="11.375" style="296" customWidth="1"/>
    <col min="6" max="6" width="11" style="296" customWidth="1"/>
    <col min="7" max="7" width="11.125" style="296" customWidth="1"/>
    <col min="8" max="8" width="8.375" style="296" customWidth="1"/>
    <col min="9" max="16384" width="9" style="296"/>
  </cols>
  <sheetData>
    <row r="1" customHeight="1" spans="1:4">
      <c r="A1" s="111" t="s">
        <v>81</v>
      </c>
      <c r="B1" s="111"/>
      <c r="C1" s="297"/>
      <c r="D1" s="315"/>
    </row>
    <row r="2" customHeight="1" spans="1:8">
      <c r="A2" s="298" t="s">
        <v>1123</v>
      </c>
      <c r="B2" s="298"/>
      <c r="C2" s="298"/>
      <c r="D2" s="298"/>
      <c r="E2" s="298"/>
      <c r="F2" s="298"/>
      <c r="G2" s="298"/>
      <c r="H2" s="298"/>
    </row>
    <row r="3" s="293" customFormat="1" ht="18" customHeight="1" spans="1:9">
      <c r="A3" s="111"/>
      <c r="B3" s="111"/>
      <c r="C3" s="299"/>
      <c r="D3" s="299"/>
      <c r="G3" s="316" t="s">
        <v>36</v>
      </c>
      <c r="H3" s="316"/>
      <c r="I3" s="111"/>
    </row>
    <row r="4" s="293" customFormat="1" ht="18" customHeight="1" spans="1:8">
      <c r="A4" s="317" t="s">
        <v>83</v>
      </c>
      <c r="B4" s="318" t="s">
        <v>84</v>
      </c>
      <c r="C4" s="319" t="s">
        <v>1124</v>
      </c>
      <c r="D4" s="319" t="s">
        <v>1125</v>
      </c>
      <c r="E4" s="319" t="s">
        <v>85</v>
      </c>
      <c r="F4" s="319"/>
      <c r="G4" s="319"/>
      <c r="H4" s="320" t="s">
        <v>86</v>
      </c>
    </row>
    <row r="5" s="294" customFormat="1" ht="30" spans="1:8">
      <c r="A5" s="321"/>
      <c r="B5" s="322"/>
      <c r="C5" s="300"/>
      <c r="D5" s="300"/>
      <c r="E5" s="300" t="s">
        <v>42</v>
      </c>
      <c r="F5" s="323" t="s">
        <v>1126</v>
      </c>
      <c r="G5" s="323" t="s">
        <v>44</v>
      </c>
      <c r="H5" s="324"/>
    </row>
    <row r="6" s="294" customFormat="1" ht="23.1" customHeight="1" spans="1:8">
      <c r="A6" s="325" t="s">
        <v>1127</v>
      </c>
      <c r="B6" s="326">
        <f>B7+B18+B22+B23+B27+B30</f>
        <v>208276</v>
      </c>
      <c r="C6" s="326">
        <f>C7+C18+C22+C23+C27+C30</f>
        <v>352140</v>
      </c>
      <c r="D6" s="326">
        <f>D7+D18+D22+D23+D27+D30</f>
        <v>208140</v>
      </c>
      <c r="E6" s="326">
        <f>E7+E18+E22+E23+E27+E30</f>
        <v>208140</v>
      </c>
      <c r="F6" s="268">
        <f>E6/D6*100</f>
        <v>100</v>
      </c>
      <c r="G6" s="268">
        <f>(E6/B6-1)*100</f>
        <v>-0.0652979700013434</v>
      </c>
      <c r="H6" s="324"/>
    </row>
    <row r="7" s="310" customFormat="1" ht="30.95" customHeight="1" spans="1:8">
      <c r="A7" s="327" t="s">
        <v>1128</v>
      </c>
      <c r="B7" s="271">
        <f>SUM(B8:B17)</f>
        <v>194764</v>
      </c>
      <c r="C7" s="271">
        <f>SUM(C8:C17)</f>
        <v>328640</v>
      </c>
      <c r="D7" s="271">
        <f>SUM(D8:D17)</f>
        <v>189340</v>
      </c>
      <c r="E7" s="271">
        <f>SUM(E8:E17)</f>
        <v>189340</v>
      </c>
      <c r="F7" s="272">
        <f>E7/D7*100</f>
        <v>100</v>
      </c>
      <c r="G7" s="272">
        <f>(E7/B7-1)*100</f>
        <v>-2.78490891540532</v>
      </c>
      <c r="H7" s="328"/>
    </row>
    <row r="8" s="294" customFormat="1" ht="23.1" customHeight="1" spans="1:8">
      <c r="A8" s="329" t="s">
        <v>1129</v>
      </c>
      <c r="B8" s="330">
        <v>24222</v>
      </c>
      <c r="C8" s="275">
        <v>109640</v>
      </c>
      <c r="D8" s="275">
        <v>37130</v>
      </c>
      <c r="E8" s="275">
        <v>37130</v>
      </c>
      <c r="F8" s="276"/>
      <c r="G8" s="272"/>
      <c r="H8" s="331"/>
    </row>
    <row r="9" s="294" customFormat="1" ht="23.1" customHeight="1" spans="1:8">
      <c r="A9" s="329" t="s">
        <v>1130</v>
      </c>
      <c r="B9" s="330">
        <v>57788</v>
      </c>
      <c r="C9" s="275">
        <v>120000</v>
      </c>
      <c r="D9" s="275">
        <v>48000</v>
      </c>
      <c r="E9" s="275">
        <v>48000</v>
      </c>
      <c r="F9" s="276"/>
      <c r="G9" s="276"/>
      <c r="H9" s="332"/>
    </row>
    <row r="10" s="294" customFormat="1" ht="23.1" customHeight="1" spans="1:8">
      <c r="A10" s="329" t="s">
        <v>1131</v>
      </c>
      <c r="B10" s="330">
        <v>49269</v>
      </c>
      <c r="C10" s="275">
        <v>50000</v>
      </c>
      <c r="D10" s="275">
        <v>39965</v>
      </c>
      <c r="E10" s="275">
        <v>39965</v>
      </c>
      <c r="F10" s="276"/>
      <c r="G10" s="272"/>
      <c r="H10" s="331"/>
    </row>
    <row r="11" ht="23.1" customHeight="1" spans="1:8">
      <c r="A11" s="329" t="s">
        <v>1132</v>
      </c>
      <c r="B11" s="330">
        <v>46060</v>
      </c>
      <c r="C11" s="275">
        <v>40000</v>
      </c>
      <c r="D11" s="275">
        <v>24116</v>
      </c>
      <c r="E11" s="275">
        <v>24116</v>
      </c>
      <c r="F11" s="276"/>
      <c r="G11" s="272"/>
      <c r="H11" s="333"/>
    </row>
    <row r="12" ht="23.1" customHeight="1" spans="1:8">
      <c r="A12" s="329" t="s">
        <v>1133</v>
      </c>
      <c r="B12" s="330">
        <v>451</v>
      </c>
      <c r="C12" s="275">
        <v>8000</v>
      </c>
      <c r="D12" s="275">
        <v>7791</v>
      </c>
      <c r="E12" s="275">
        <v>7791</v>
      </c>
      <c r="F12" s="276"/>
      <c r="G12" s="272"/>
      <c r="H12" s="334"/>
    </row>
    <row r="13" ht="23.1" customHeight="1" spans="1:8">
      <c r="A13" s="329" t="s">
        <v>1134</v>
      </c>
      <c r="B13" s="330">
        <v>341</v>
      </c>
      <c r="C13" s="275">
        <v>1000</v>
      </c>
      <c r="D13" s="275">
        <v>400</v>
      </c>
      <c r="E13" s="275">
        <v>400</v>
      </c>
      <c r="F13" s="276"/>
      <c r="G13" s="272"/>
      <c r="H13" s="333"/>
    </row>
    <row r="14" ht="23.1" customHeight="1" spans="1:8">
      <c r="A14" s="329" t="s">
        <v>1135</v>
      </c>
      <c r="B14" s="330">
        <v>65</v>
      </c>
      <c r="C14" s="275"/>
      <c r="D14" s="275">
        <v>1517</v>
      </c>
      <c r="E14" s="275">
        <v>1517</v>
      </c>
      <c r="F14" s="276"/>
      <c r="G14" s="272"/>
      <c r="H14" s="333"/>
    </row>
    <row r="15" ht="23.1" customHeight="1" spans="1:8">
      <c r="A15" s="329" t="s">
        <v>1136</v>
      </c>
      <c r="B15" s="330">
        <v>1493</v>
      </c>
      <c r="C15" s="275"/>
      <c r="D15" s="275">
        <v>3431</v>
      </c>
      <c r="E15" s="275">
        <v>3431</v>
      </c>
      <c r="F15" s="276"/>
      <c r="G15" s="272"/>
      <c r="H15" s="333"/>
    </row>
    <row r="16" ht="23.1" customHeight="1" spans="1:8">
      <c r="A16" s="329" t="s">
        <v>1137</v>
      </c>
      <c r="B16" s="330">
        <v>327</v>
      </c>
      <c r="C16" s="275"/>
      <c r="D16" s="275">
        <v>3860</v>
      </c>
      <c r="E16" s="275">
        <v>3860</v>
      </c>
      <c r="F16" s="276"/>
      <c r="G16" s="272"/>
      <c r="H16" s="333"/>
    </row>
    <row r="17" ht="23.1" customHeight="1" spans="1:8">
      <c r="A17" s="335" t="s">
        <v>1138</v>
      </c>
      <c r="B17" s="330">
        <v>14748</v>
      </c>
      <c r="C17" s="275"/>
      <c r="D17" s="275">
        <v>23130</v>
      </c>
      <c r="E17" s="275">
        <v>23130</v>
      </c>
      <c r="F17" s="276"/>
      <c r="G17" s="272"/>
      <c r="H17" s="336"/>
    </row>
    <row r="18" s="311" customFormat="1" ht="23.1" customHeight="1" spans="1:8">
      <c r="A18" s="327" t="s">
        <v>1139</v>
      </c>
      <c r="B18" s="271">
        <f>B19+B20+B21</f>
        <v>509</v>
      </c>
      <c r="C18" s="271">
        <f>C19+C20+C21</f>
        <v>2000</v>
      </c>
      <c r="D18" s="271">
        <f>D19+D20+D21</f>
        <v>1500</v>
      </c>
      <c r="E18" s="271">
        <v>1500</v>
      </c>
      <c r="F18" s="272">
        <f t="shared" ref="F18:F23" si="0">E18/D18*100</f>
        <v>100</v>
      </c>
      <c r="G18" s="272">
        <f>(E18/B18-1)*100</f>
        <v>194.695481335953</v>
      </c>
      <c r="H18" s="337"/>
    </row>
    <row r="19" s="312" customFormat="1" ht="23.1" customHeight="1" spans="1:8">
      <c r="A19" s="329" t="s">
        <v>1129</v>
      </c>
      <c r="B19" s="275"/>
      <c r="C19" s="275">
        <v>1000</v>
      </c>
      <c r="D19" s="275"/>
      <c r="F19" s="275">
        <f>D19</f>
        <v>0</v>
      </c>
      <c r="G19" s="272"/>
      <c r="H19" s="336"/>
    </row>
    <row r="20" ht="23.1" customHeight="1" spans="1:8">
      <c r="A20" s="329" t="s">
        <v>1130</v>
      </c>
      <c r="B20" s="275"/>
      <c r="C20" s="275">
        <v>900</v>
      </c>
      <c r="D20" s="275"/>
      <c r="E20" s="338"/>
      <c r="F20" s="276"/>
      <c r="G20" s="272"/>
      <c r="H20" s="333"/>
    </row>
    <row r="21" ht="23.1" customHeight="1" spans="1:8">
      <c r="A21" s="329" t="s">
        <v>1140</v>
      </c>
      <c r="B21" s="275">
        <v>509</v>
      </c>
      <c r="C21" s="275">
        <v>100</v>
      </c>
      <c r="D21" s="275">
        <v>1500</v>
      </c>
      <c r="E21" s="275">
        <v>1500</v>
      </c>
      <c r="F21" s="276"/>
      <c r="G21" s="272"/>
      <c r="H21" s="333"/>
    </row>
    <row r="22" s="311" customFormat="1" ht="23.1" customHeight="1" spans="1:8">
      <c r="A22" s="327" t="s">
        <v>1141</v>
      </c>
      <c r="B22" s="271">
        <v>508</v>
      </c>
      <c r="C22" s="271">
        <v>500</v>
      </c>
      <c r="D22" s="271">
        <v>300</v>
      </c>
      <c r="E22" s="271">
        <v>300</v>
      </c>
      <c r="F22" s="272">
        <f t="shared" si="0"/>
        <v>100</v>
      </c>
      <c r="G22" s="272"/>
      <c r="H22" s="337"/>
    </row>
    <row r="23" s="311" customFormat="1" ht="23.1" customHeight="1" spans="1:8">
      <c r="A23" s="327" t="s">
        <v>1142</v>
      </c>
      <c r="B23" s="271">
        <f>SUM(B24:B26)</f>
        <v>5557</v>
      </c>
      <c r="C23" s="271">
        <f>C24+C25+C26</f>
        <v>15000</v>
      </c>
      <c r="D23" s="271">
        <f>D24+D25+D26</f>
        <v>10000</v>
      </c>
      <c r="E23" s="271">
        <f>E24+E25+E26</f>
        <v>10000</v>
      </c>
      <c r="F23" s="272">
        <f t="shared" si="0"/>
        <v>100</v>
      </c>
      <c r="G23" s="272">
        <f>(E23/B23-1)*100</f>
        <v>79.9532121648372</v>
      </c>
      <c r="H23" s="337"/>
    </row>
    <row r="24" ht="23.1" customHeight="1" spans="1:8">
      <c r="A24" s="329" t="s">
        <v>1143</v>
      </c>
      <c r="B24" s="330">
        <v>93</v>
      </c>
      <c r="C24" s="275">
        <v>11000</v>
      </c>
      <c r="D24" s="275">
        <v>8000</v>
      </c>
      <c r="E24" s="275">
        <v>8000</v>
      </c>
      <c r="F24" s="276"/>
      <c r="G24" s="276"/>
      <c r="H24" s="333"/>
    </row>
    <row r="25" ht="23.1" customHeight="1" spans="1:8">
      <c r="A25" s="329" t="s">
        <v>1144</v>
      </c>
      <c r="B25" s="330">
        <v>5398</v>
      </c>
      <c r="C25" s="275">
        <v>4000</v>
      </c>
      <c r="D25" s="275"/>
      <c r="E25" s="275"/>
      <c r="F25" s="276"/>
      <c r="G25" s="272"/>
      <c r="H25" s="333"/>
    </row>
    <row r="26" ht="23.1" customHeight="1" spans="1:8">
      <c r="A26" s="329" t="s">
        <v>1145</v>
      </c>
      <c r="B26" s="330">
        <v>66</v>
      </c>
      <c r="C26" s="275"/>
      <c r="D26" s="275">
        <v>2000</v>
      </c>
      <c r="E26" s="275">
        <v>2000</v>
      </c>
      <c r="F26" s="279"/>
      <c r="G26" s="279"/>
      <c r="H26" s="339"/>
    </row>
    <row r="27" s="311" customFormat="1" ht="23.1" customHeight="1" spans="1:8">
      <c r="A27" s="327" t="s">
        <v>1146</v>
      </c>
      <c r="B27" s="271">
        <f>SUM(B28:B29)</f>
        <v>2911</v>
      </c>
      <c r="C27" s="271">
        <f>C28+C29</f>
        <v>3000</v>
      </c>
      <c r="D27" s="271">
        <f>D28+D29</f>
        <v>3000</v>
      </c>
      <c r="E27" s="271">
        <f>E28+E29</f>
        <v>3000</v>
      </c>
      <c r="F27" s="272">
        <f>E27/D27*100</f>
        <v>100</v>
      </c>
      <c r="G27" s="272">
        <f>(E27/B27-1)*100</f>
        <v>3.05736860185504</v>
      </c>
      <c r="H27" s="340"/>
    </row>
    <row r="28" ht="23.1" customHeight="1" spans="1:8">
      <c r="A28" s="329" t="s">
        <v>1147</v>
      </c>
      <c r="B28" s="275">
        <v>2911</v>
      </c>
      <c r="C28" s="275">
        <v>2700</v>
      </c>
      <c r="D28" s="275">
        <v>2700</v>
      </c>
      <c r="E28" s="275">
        <v>2700</v>
      </c>
      <c r="F28" s="279"/>
      <c r="G28" s="279"/>
      <c r="H28" s="339"/>
    </row>
    <row r="29" ht="23.1" customHeight="1" spans="1:8">
      <c r="A29" s="329" t="s">
        <v>1148</v>
      </c>
      <c r="B29" s="275">
        <v>0</v>
      </c>
      <c r="C29" s="275">
        <v>300</v>
      </c>
      <c r="D29" s="275">
        <v>300</v>
      </c>
      <c r="E29" s="275">
        <v>300</v>
      </c>
      <c r="F29" s="279"/>
      <c r="G29" s="279"/>
      <c r="H29" s="339"/>
    </row>
    <row r="30" s="311" customFormat="1" ht="23.1" customHeight="1" spans="1:8">
      <c r="A30" s="327" t="s">
        <v>1149</v>
      </c>
      <c r="B30" s="271">
        <f>SUM(B31:B36)</f>
        <v>4027</v>
      </c>
      <c r="C30" s="271">
        <f>SUM(C31:C36)</f>
        <v>3000</v>
      </c>
      <c r="D30" s="271">
        <f>SUM(D31:D36)</f>
        <v>4000</v>
      </c>
      <c r="E30" s="271">
        <f>SUM(E31:E36)</f>
        <v>4000</v>
      </c>
      <c r="F30" s="272">
        <f>E30/D30*100</f>
        <v>100</v>
      </c>
      <c r="G30" s="272">
        <f>(E30/B30-1)*100</f>
        <v>-0.670474298485224</v>
      </c>
      <c r="H30" s="340"/>
    </row>
    <row r="31" ht="23.1" customHeight="1" spans="1:8">
      <c r="A31" s="329" t="s">
        <v>1150</v>
      </c>
      <c r="B31" s="330">
        <v>2045</v>
      </c>
      <c r="C31" s="275">
        <v>1000</v>
      </c>
      <c r="D31" s="275">
        <v>1200</v>
      </c>
      <c r="E31" s="275">
        <v>1200</v>
      </c>
      <c r="F31" s="279"/>
      <c r="G31" s="272"/>
      <c r="H31" s="339"/>
    </row>
    <row r="32" ht="23.1" customHeight="1" spans="1:8">
      <c r="A32" s="329" t="s">
        <v>1151</v>
      </c>
      <c r="B32" s="330">
        <v>776</v>
      </c>
      <c r="C32" s="275">
        <v>547</v>
      </c>
      <c r="D32" s="275">
        <v>747</v>
      </c>
      <c r="E32" s="275">
        <v>747</v>
      </c>
      <c r="F32" s="279"/>
      <c r="G32" s="272"/>
      <c r="H32" s="339"/>
    </row>
    <row r="33" ht="23.1" customHeight="1" spans="1:8">
      <c r="A33" s="329" t="s">
        <v>1152</v>
      </c>
      <c r="B33" s="330"/>
      <c r="C33" s="275">
        <v>250</v>
      </c>
      <c r="D33" s="275">
        <v>450</v>
      </c>
      <c r="E33" s="275">
        <v>450</v>
      </c>
      <c r="F33" s="279"/>
      <c r="G33" s="272"/>
      <c r="H33" s="339"/>
    </row>
    <row r="34" ht="23.1" customHeight="1" spans="1:8">
      <c r="A34" s="329" t="s">
        <v>1153</v>
      </c>
      <c r="B34" s="330">
        <v>1182</v>
      </c>
      <c r="C34" s="275">
        <v>1150</v>
      </c>
      <c r="D34" s="275">
        <v>1550</v>
      </c>
      <c r="E34" s="275">
        <v>1550</v>
      </c>
      <c r="F34" s="279"/>
      <c r="G34" s="272"/>
      <c r="H34" s="339"/>
    </row>
    <row r="35" ht="23.1" customHeight="1" spans="1:8">
      <c r="A35" s="329" t="s">
        <v>1154</v>
      </c>
      <c r="B35" s="330">
        <v>11</v>
      </c>
      <c r="C35" s="275">
        <v>3</v>
      </c>
      <c r="D35" s="275">
        <v>3</v>
      </c>
      <c r="E35" s="275">
        <v>3</v>
      </c>
      <c r="F35" s="279"/>
      <c r="G35" s="272"/>
      <c r="H35" s="339"/>
    </row>
    <row r="36" ht="23.1" customHeight="1" spans="1:8">
      <c r="A36" s="329" t="s">
        <v>1155</v>
      </c>
      <c r="B36" s="330">
        <v>13</v>
      </c>
      <c r="C36" s="275">
        <v>50</v>
      </c>
      <c r="D36" s="275">
        <v>50</v>
      </c>
      <c r="E36" s="275">
        <v>50</v>
      </c>
      <c r="F36" s="279"/>
      <c r="G36" s="272"/>
      <c r="H36" s="339"/>
    </row>
    <row r="37" s="313" customFormat="1" ht="23.1" customHeight="1" spans="1:8">
      <c r="A37" s="341" t="s">
        <v>1156</v>
      </c>
      <c r="B37" s="267">
        <f t="shared" ref="B37:B40" si="1">B38</f>
        <v>120000</v>
      </c>
      <c r="C37" s="267">
        <f t="shared" ref="C37:D38" si="2">C38</f>
        <v>120000</v>
      </c>
      <c r="D37" s="267">
        <f t="shared" si="2"/>
        <v>60000</v>
      </c>
      <c r="E37" s="267">
        <v>60000</v>
      </c>
      <c r="F37" s="268">
        <f>E37/D37*100</f>
        <v>100</v>
      </c>
      <c r="G37" s="272">
        <f t="shared" ref="G37" si="3">(E37/B37-1)*100</f>
        <v>-50</v>
      </c>
      <c r="H37" s="339"/>
    </row>
    <row r="38" s="313" customFormat="1" ht="23.1" customHeight="1" spans="1:8">
      <c r="A38" s="327" t="s">
        <v>1157</v>
      </c>
      <c r="B38" s="271">
        <f t="shared" si="1"/>
        <v>120000</v>
      </c>
      <c r="C38" s="271">
        <f t="shared" si="2"/>
        <v>120000</v>
      </c>
      <c r="D38" s="271">
        <f t="shared" si="2"/>
        <v>60000</v>
      </c>
      <c r="E38" s="271">
        <v>60000</v>
      </c>
      <c r="F38" s="342"/>
      <c r="G38" s="342"/>
      <c r="H38" s="339"/>
    </row>
    <row r="39" s="313" customFormat="1" ht="23.1" customHeight="1" spans="1:8">
      <c r="A39" s="343" t="s">
        <v>1158</v>
      </c>
      <c r="B39" s="275">
        <v>120000</v>
      </c>
      <c r="C39" s="275">
        <v>120000</v>
      </c>
      <c r="D39" s="275">
        <v>60000</v>
      </c>
      <c r="E39" s="275">
        <v>60000</v>
      </c>
      <c r="F39" s="342"/>
      <c r="G39" s="342"/>
      <c r="H39" s="339"/>
    </row>
    <row r="40" s="313" customFormat="1" ht="23.1" customHeight="1" spans="1:8">
      <c r="A40" s="341" t="s">
        <v>1159</v>
      </c>
      <c r="B40" s="267">
        <f t="shared" si="1"/>
        <v>41579</v>
      </c>
      <c r="C40" s="267">
        <f>C41</f>
        <v>48500</v>
      </c>
      <c r="D40" s="267">
        <f>D41</f>
        <v>48500</v>
      </c>
      <c r="E40" s="267">
        <v>48500</v>
      </c>
      <c r="F40" s="342"/>
      <c r="G40" s="342"/>
      <c r="H40" s="339"/>
    </row>
    <row r="41" s="313" customFormat="1" ht="23.1" customHeight="1" spans="1:8">
      <c r="A41" s="343" t="s">
        <v>1160</v>
      </c>
      <c r="B41" s="275">
        <v>41579</v>
      </c>
      <c r="C41" s="275">
        <v>48500</v>
      </c>
      <c r="D41" s="275">
        <v>48500</v>
      </c>
      <c r="E41" s="275">
        <v>48500</v>
      </c>
      <c r="F41" s="342"/>
      <c r="G41" s="342"/>
      <c r="H41" s="339"/>
    </row>
    <row r="42" s="311" customFormat="1" ht="23.1" customHeight="1" spans="1:8">
      <c r="A42" s="341" t="s">
        <v>1161</v>
      </c>
      <c r="B42" s="267">
        <f t="shared" ref="B42:D42" si="4">B43</f>
        <v>262</v>
      </c>
      <c r="C42" s="267">
        <f t="shared" si="4"/>
        <v>360</v>
      </c>
      <c r="D42" s="267">
        <f t="shared" si="4"/>
        <v>360</v>
      </c>
      <c r="E42" s="267">
        <v>360</v>
      </c>
      <c r="F42" s="268">
        <f>E42/D42*100</f>
        <v>100</v>
      </c>
      <c r="G42" s="268">
        <f>(E42/B42-1)*100</f>
        <v>37.4045801526718</v>
      </c>
      <c r="H42" s="340"/>
    </row>
    <row r="43" ht="23.1" customHeight="1" spans="1:8">
      <c r="A43" s="327" t="s">
        <v>1162</v>
      </c>
      <c r="B43" s="271">
        <f>SUM(B44:B46)</f>
        <v>262</v>
      </c>
      <c r="C43" s="271">
        <f t="shared" ref="C43:D43" si="5">SUM(C44:C46)</f>
        <v>360</v>
      </c>
      <c r="D43" s="271">
        <f t="shared" si="5"/>
        <v>360</v>
      </c>
      <c r="E43" s="271">
        <v>360</v>
      </c>
      <c r="F43" s="272"/>
      <c r="G43" s="272"/>
      <c r="H43" s="339"/>
    </row>
    <row r="44" ht="23.1" customHeight="1" spans="1:8">
      <c r="A44" s="344" t="s">
        <v>1163</v>
      </c>
      <c r="B44" s="345">
        <v>68</v>
      </c>
      <c r="C44" s="275">
        <v>360</v>
      </c>
      <c r="D44" s="275">
        <v>360</v>
      </c>
      <c r="E44" s="275">
        <v>360</v>
      </c>
      <c r="F44" s="279"/>
      <c r="G44" s="279"/>
      <c r="H44" s="339"/>
    </row>
    <row r="45" ht="23.1" customHeight="1" spans="1:8">
      <c r="A45" s="343" t="s">
        <v>1164</v>
      </c>
      <c r="B45" s="345"/>
      <c r="C45" s="275"/>
      <c r="D45" s="275"/>
      <c r="E45" s="275"/>
      <c r="F45" s="279"/>
      <c r="G45" s="279"/>
      <c r="H45" s="339"/>
    </row>
    <row r="46" ht="31" customHeight="1" spans="1:8">
      <c r="A46" s="344" t="s">
        <v>1165</v>
      </c>
      <c r="B46" s="345">
        <v>194</v>
      </c>
      <c r="C46" s="275"/>
      <c r="D46" s="275"/>
      <c r="E46" s="275"/>
      <c r="F46" s="279"/>
      <c r="G46" s="279"/>
      <c r="H46" s="339"/>
    </row>
    <row r="47" s="313" customFormat="1" ht="23.1" customHeight="1" spans="1:8">
      <c r="A47" s="346" t="s">
        <v>1166</v>
      </c>
      <c r="B47" s="267">
        <f>B48</f>
        <v>183288</v>
      </c>
      <c r="C47" s="267">
        <f>C48</f>
        <v>0</v>
      </c>
      <c r="D47" s="267">
        <f>D48</f>
        <v>254400</v>
      </c>
      <c r="E47" s="267">
        <v>254400</v>
      </c>
      <c r="F47" s="347"/>
      <c r="G47" s="347"/>
      <c r="H47" s="348"/>
    </row>
    <row r="48" ht="23.1" customHeight="1" spans="1:8">
      <c r="A48" s="349" t="s">
        <v>1167</v>
      </c>
      <c r="B48" s="275">
        <v>183288</v>
      </c>
      <c r="C48" s="275"/>
      <c r="D48" s="275">
        <v>254400</v>
      </c>
      <c r="E48" s="275">
        <v>254400</v>
      </c>
      <c r="F48" s="279"/>
      <c r="G48" s="279"/>
      <c r="H48" s="339"/>
    </row>
    <row r="49" ht="23.1" customHeight="1" spans="1:8">
      <c r="A49" s="350" t="s">
        <v>1168</v>
      </c>
      <c r="B49" s="351">
        <f>B42+B37+B6+B40+B47</f>
        <v>553405</v>
      </c>
      <c r="C49" s="351">
        <f>C42+C37+C6+C40+C47</f>
        <v>521000</v>
      </c>
      <c r="D49" s="351">
        <f>D42+D37+D6+D40+D47</f>
        <v>571400</v>
      </c>
      <c r="E49" s="351">
        <f>E42+E37+E6+E40+E47</f>
        <v>571400</v>
      </c>
      <c r="F49" s="352">
        <f>E49/D49*100</f>
        <v>100</v>
      </c>
      <c r="G49" s="352">
        <f>(E49/B49-1)*100</f>
        <v>3.25168728146656</v>
      </c>
      <c r="H49" s="353"/>
    </row>
    <row r="50" customHeight="1" spans="2:2">
      <c r="B50" s="354"/>
    </row>
    <row r="51" customHeight="1" spans="4:4">
      <c r="D51" s="296"/>
    </row>
    <row r="52" customHeight="1" spans="4:4">
      <c r="D52" s="355"/>
    </row>
    <row r="53" customHeight="1" spans="4:4">
      <c r="D53" s="355"/>
    </row>
  </sheetData>
  <mergeCells count="9">
    <mergeCell ref="A2:H2"/>
    <mergeCell ref="C3:D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393055555555556" right="0.393055555555556" top="0.708333333333333" bottom="0.786805555555556" header="0.354166666666667" footer="0.590277777777778"/>
  <pageSetup paperSize="9" scale="79" firstPageNumber="45" fitToHeight="0" orientation="portrait" useFirstPageNumber="1" horizontalDpi="600"/>
  <headerFooter alignWithMargins="0">
    <oddFooter>&amp;C&amp;P</oddFooter>
  </headerFooter>
  <rowBreaks count="1" manualBreakCount="1">
    <brk id="49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showZeros="0" workbookViewId="0">
      <selection activeCell="A2" sqref="A2:E2"/>
    </sheetView>
  </sheetViews>
  <sheetFormatPr defaultColWidth="9" defaultRowHeight="12.5" outlineLevelCol="4"/>
  <cols>
    <col min="1" max="1" width="30.125" style="296" customWidth="1"/>
    <col min="2" max="2" width="13.875" style="296" customWidth="1"/>
    <col min="3" max="3" width="13.125" style="296" customWidth="1"/>
    <col min="4" max="4" width="13" style="296" customWidth="1"/>
    <col min="5" max="5" width="13.375" style="296" customWidth="1"/>
    <col min="6" max="16384" width="9" style="296"/>
  </cols>
  <sheetData>
    <row r="1" ht="17.25" customHeight="1" spans="1:5">
      <c r="A1" s="111" t="s">
        <v>906</v>
      </c>
      <c r="B1" s="111"/>
      <c r="C1" s="297"/>
      <c r="D1" s="297"/>
      <c r="E1" s="297"/>
    </row>
    <row r="2" ht="30" customHeight="1" spans="1:5">
      <c r="A2" s="298" t="s">
        <v>1169</v>
      </c>
      <c r="B2" s="298"/>
      <c r="C2" s="298"/>
      <c r="D2" s="298"/>
      <c r="E2" s="298"/>
    </row>
    <row r="3" s="293" customFormat="1" ht="26.25" customHeight="1" spans="1:5">
      <c r="A3" s="111"/>
      <c r="B3" s="111"/>
      <c r="C3" s="111"/>
      <c r="D3" s="111"/>
      <c r="E3" s="299" t="s">
        <v>36</v>
      </c>
    </row>
    <row r="4" s="293" customFormat="1" ht="28.5" customHeight="1" spans="1:5">
      <c r="A4" s="264" t="s">
        <v>1170</v>
      </c>
      <c r="B4" s="300" t="s">
        <v>909</v>
      </c>
      <c r="C4" s="300" t="s">
        <v>1171</v>
      </c>
      <c r="D4" s="301" t="s">
        <v>946</v>
      </c>
      <c r="E4" s="301"/>
    </row>
    <row r="5" s="293" customFormat="1" ht="35.25" customHeight="1" spans="1:5">
      <c r="A5" s="264"/>
      <c r="B5" s="300"/>
      <c r="C5" s="300"/>
      <c r="D5" s="301" t="s">
        <v>87</v>
      </c>
      <c r="E5" s="301" t="s">
        <v>947</v>
      </c>
    </row>
    <row r="6" s="293" customFormat="1" ht="35.25" customHeight="1" spans="1:5">
      <c r="A6" s="302" t="s">
        <v>1110</v>
      </c>
      <c r="B6" s="303">
        <f>B7+B8+B9+B10+B13+B14</f>
        <v>521000</v>
      </c>
      <c r="C6" s="303">
        <f>C7+C8+C9+C10+C13+C14</f>
        <v>317000</v>
      </c>
      <c r="D6" s="303">
        <f>D7+D8+D9+D10+D13+D14</f>
        <v>370900</v>
      </c>
      <c r="E6" s="268">
        <f>(D6/C6-1)*100</f>
        <v>17.0031545741325</v>
      </c>
    </row>
    <row r="7" s="294" customFormat="1" ht="39.95" customHeight="1" spans="1:5">
      <c r="A7" s="304" t="s">
        <v>1111</v>
      </c>
      <c r="B7" s="275">
        <f>表一2023年基金收入预算!C7</f>
        <v>2000</v>
      </c>
      <c r="C7" s="275">
        <f>表一2023年基金收入预算!E7</f>
        <v>1500</v>
      </c>
      <c r="D7" s="275">
        <v>1000</v>
      </c>
      <c r="E7" s="276">
        <f>(D7/C7-1)*100</f>
        <v>-33.3333333333333</v>
      </c>
    </row>
    <row r="8" s="294" customFormat="1" ht="39.95" customHeight="1" spans="1:5">
      <c r="A8" s="304" t="s">
        <v>1112</v>
      </c>
      <c r="B8" s="275">
        <f>表一2023年基金收入预算!C8</f>
        <v>500</v>
      </c>
      <c r="C8" s="275">
        <f>表一2023年基金收入预算!E8</f>
        <v>300</v>
      </c>
      <c r="D8" s="275">
        <v>300</v>
      </c>
      <c r="E8" s="276">
        <f t="shared" ref="E8:E14" si="0">(D8/C8-1)*100</f>
        <v>0</v>
      </c>
    </row>
    <row r="9" s="294" customFormat="1" ht="39.95" customHeight="1" spans="1:5">
      <c r="A9" s="304" t="s">
        <v>1113</v>
      </c>
      <c r="B9" s="275">
        <f>表一2023年基金收入预算!C9</f>
        <v>497500</v>
      </c>
      <c r="C9" s="275">
        <f>表一2023年基金收入预算!E9</f>
        <v>298200</v>
      </c>
      <c r="D9" s="275">
        <v>352700</v>
      </c>
      <c r="E9" s="276">
        <f t="shared" si="0"/>
        <v>18.2763246143528</v>
      </c>
    </row>
    <row r="10" s="294" customFormat="1" ht="39.95" customHeight="1" spans="1:5">
      <c r="A10" s="304" t="s">
        <v>1114</v>
      </c>
      <c r="B10" s="275">
        <f>表一2023年基金收入预算!C10</f>
        <v>3000</v>
      </c>
      <c r="C10" s="275">
        <f>表一2023年基金收入预算!E10</f>
        <v>4000</v>
      </c>
      <c r="D10" s="275">
        <v>3900</v>
      </c>
      <c r="E10" s="276">
        <f t="shared" si="0"/>
        <v>-2.5</v>
      </c>
    </row>
    <row r="11" s="294" customFormat="1" ht="39.95" customHeight="1" spans="1:5">
      <c r="A11" s="304" t="s">
        <v>1115</v>
      </c>
      <c r="B11" s="275">
        <f>表一2023年基金收入预算!C11</f>
        <v>1400</v>
      </c>
      <c r="C11" s="275">
        <f>表一2023年基金收入预算!E11</f>
        <v>1700</v>
      </c>
      <c r="D11" s="275">
        <v>1900</v>
      </c>
      <c r="E11" s="276">
        <f t="shared" si="0"/>
        <v>11.7647058823529</v>
      </c>
    </row>
    <row r="12" s="294" customFormat="1" ht="39.95" customHeight="1" spans="1:5">
      <c r="A12" s="304" t="s">
        <v>1116</v>
      </c>
      <c r="B12" s="275">
        <f>表一2023年基金收入预算!C12</f>
        <v>1600</v>
      </c>
      <c r="C12" s="275">
        <f>表一2023年基金收入预算!E12</f>
        <v>2300</v>
      </c>
      <c r="D12" s="275">
        <v>2000</v>
      </c>
      <c r="E12" s="276">
        <f t="shared" si="0"/>
        <v>-13.0434782608696</v>
      </c>
    </row>
    <row r="13" s="294" customFormat="1" ht="39.95" customHeight="1" spans="1:5">
      <c r="A13" s="305" t="s">
        <v>1117</v>
      </c>
      <c r="B13" s="275">
        <f>表一2023年基金收入预算!C13</f>
        <v>15000</v>
      </c>
      <c r="C13" s="275">
        <f>表一2023年基金收入预算!E13</f>
        <v>10000</v>
      </c>
      <c r="D13" s="275">
        <v>10000</v>
      </c>
      <c r="E13" s="276">
        <f t="shared" si="0"/>
        <v>0</v>
      </c>
    </row>
    <row r="14" s="294" customFormat="1" ht="39.95" customHeight="1" spans="1:5">
      <c r="A14" s="304" t="s">
        <v>1118</v>
      </c>
      <c r="B14" s="275">
        <f>表一2023年基金收入预算!C14</f>
        <v>3000</v>
      </c>
      <c r="C14" s="275">
        <f>表一2023年基金收入预算!E14</f>
        <v>3000</v>
      </c>
      <c r="D14" s="275">
        <v>3000</v>
      </c>
      <c r="E14" s="276">
        <f t="shared" si="0"/>
        <v>0</v>
      </c>
    </row>
    <row r="15" s="294" customFormat="1" ht="39.95" customHeight="1" spans="1:5">
      <c r="A15" s="302" t="s">
        <v>1120</v>
      </c>
      <c r="B15" s="267">
        <f>B16</f>
        <v>0</v>
      </c>
      <c r="C15" s="267">
        <f>C16</f>
        <v>254400</v>
      </c>
      <c r="D15" s="267">
        <f>D16</f>
        <v>0</v>
      </c>
      <c r="E15" s="276"/>
    </row>
    <row r="16" s="294" customFormat="1" ht="39.95" customHeight="1" spans="1:5">
      <c r="A16" s="306" t="s">
        <v>1172</v>
      </c>
      <c r="B16" s="307"/>
      <c r="C16" s="275">
        <f>表一2023年基金收入预算!E17</f>
        <v>254400</v>
      </c>
      <c r="D16" s="275"/>
      <c r="E16" s="276"/>
    </row>
    <row r="17" s="295" customFormat="1" ht="39.95" customHeight="1" spans="1:5">
      <c r="A17" s="308" t="s">
        <v>1122</v>
      </c>
      <c r="B17" s="267">
        <f>B15+B6</f>
        <v>521000</v>
      </c>
      <c r="C17" s="267">
        <f>C15+C6</f>
        <v>571400</v>
      </c>
      <c r="D17" s="267">
        <f>D15+D6</f>
        <v>370900</v>
      </c>
      <c r="E17" s="268">
        <f>(D17/C17-1)*100</f>
        <v>-35.0892544627231</v>
      </c>
    </row>
    <row r="18" ht="14" spans="1:1">
      <c r="A18" s="309"/>
    </row>
    <row r="19" ht="14" spans="1:1">
      <c r="A19" s="309"/>
    </row>
    <row r="20" ht="14" spans="1:1">
      <c r="A20" s="309"/>
    </row>
    <row r="21" ht="14" spans="1:1">
      <c r="A21" s="309"/>
    </row>
    <row r="22" ht="14" spans="1:1">
      <c r="A22" s="309"/>
    </row>
  </sheetData>
  <mergeCells count="5">
    <mergeCell ref="A2:E2"/>
    <mergeCell ref="D4:E4"/>
    <mergeCell ref="A4:A5"/>
    <mergeCell ref="B4:B5"/>
    <mergeCell ref="C4:C5"/>
  </mergeCells>
  <printOptions horizontalCentered="1"/>
  <pageMargins left="0.550694444444444" right="0.472222222222222" top="0.786805555555556" bottom="0.786805555555556" header="0.511805555555556" footer="0.590277777777778"/>
  <pageSetup paperSize="9" firstPageNumber="47" orientation="portrait" useFirstPageNumber="1" horizontalDpi="600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1"/>
  <sheetViews>
    <sheetView showZeros="0" view="pageBreakPreview" zoomScale="120" zoomScaleNormal="100" workbookViewId="0">
      <pane xSplit="1" ySplit="4" topLeftCell="B37" activePane="bottomRight" state="frozen"/>
      <selection/>
      <selection pane="topRight"/>
      <selection pane="bottomLeft"/>
      <selection pane="bottomRight" activeCell="A2" sqref="A2:E2"/>
    </sheetView>
  </sheetViews>
  <sheetFormatPr defaultColWidth="9" defaultRowHeight="12.5" outlineLevelCol="5"/>
  <cols>
    <col min="1" max="1" width="42.75" style="259" customWidth="1"/>
    <col min="2" max="2" width="11.25" style="259" customWidth="1"/>
    <col min="3" max="3" width="11" style="259" customWidth="1"/>
    <col min="4" max="4" width="10.375" style="259" customWidth="1"/>
    <col min="5" max="5" width="12" style="259" customWidth="1"/>
    <col min="6" max="16384" width="9" style="259"/>
  </cols>
  <sheetData>
    <row r="1" ht="15.95" customHeight="1" spans="1:4">
      <c r="A1" s="260" t="s">
        <v>941</v>
      </c>
      <c r="B1" s="260"/>
      <c r="C1" s="261"/>
      <c r="D1" s="261"/>
    </row>
    <row r="2" ht="24.95" customHeight="1" spans="1:5">
      <c r="A2" s="262" t="s">
        <v>1173</v>
      </c>
      <c r="B2" s="262"/>
      <c r="C2" s="262"/>
      <c r="D2" s="262"/>
      <c r="E2" s="262"/>
    </row>
    <row r="3" s="255" customFormat="1" ht="15.95" customHeight="1" spans="1:6">
      <c r="A3" s="260"/>
      <c r="B3" s="260"/>
      <c r="C3" s="263"/>
      <c r="D3" s="263"/>
      <c r="E3" s="260" t="s">
        <v>36</v>
      </c>
      <c r="F3" s="260"/>
    </row>
    <row r="4" s="255" customFormat="1" ht="33" customHeight="1" spans="1:5">
      <c r="A4" s="264" t="s">
        <v>1170</v>
      </c>
      <c r="B4" s="265" t="s">
        <v>943</v>
      </c>
      <c r="C4" s="265" t="s">
        <v>1174</v>
      </c>
      <c r="D4" s="265" t="s">
        <v>44</v>
      </c>
      <c r="E4" s="265" t="s">
        <v>86</v>
      </c>
    </row>
    <row r="5" s="255" customFormat="1" ht="17.1" customHeight="1" spans="1:5">
      <c r="A5" s="266" t="s">
        <v>1127</v>
      </c>
      <c r="B5" s="267">
        <f>B6+B17+B21+B22+B26+B30</f>
        <v>208140</v>
      </c>
      <c r="C5" s="267">
        <f>C6+C17+C21+C22+C26+C30</f>
        <v>220779</v>
      </c>
      <c r="D5" s="268">
        <f>(C5/B5-1)*100</f>
        <v>6.07235514557509</v>
      </c>
      <c r="E5" s="269"/>
    </row>
    <row r="6" s="256" customFormat="1" ht="17.1" customHeight="1" spans="1:5">
      <c r="A6" s="270" t="s">
        <v>1128</v>
      </c>
      <c r="B6" s="271">
        <f>SUM(B7:B16)</f>
        <v>189340</v>
      </c>
      <c r="C6" s="271">
        <f>SUM(C7:C16)</f>
        <v>201379</v>
      </c>
      <c r="D6" s="272">
        <f>(C6/B6-1)*100</f>
        <v>6.35840287313827</v>
      </c>
      <c r="E6" s="273"/>
    </row>
    <row r="7" s="257" customFormat="1" ht="17.1" customHeight="1" spans="1:5">
      <c r="A7" s="274" t="s">
        <v>1129</v>
      </c>
      <c r="B7" s="275">
        <v>37130</v>
      </c>
      <c r="C7" s="275">
        <f>79619-55100</f>
        <v>24519</v>
      </c>
      <c r="D7" s="276"/>
      <c r="E7" s="273"/>
    </row>
    <row r="8" s="257" customFormat="1" ht="17.1" customHeight="1" spans="1:5">
      <c r="A8" s="274" t="s">
        <v>1130</v>
      </c>
      <c r="B8" s="275">
        <v>48000</v>
      </c>
      <c r="C8" s="275">
        <v>32000</v>
      </c>
      <c r="D8" s="272"/>
      <c r="E8" s="273"/>
    </row>
    <row r="9" ht="17.1" customHeight="1" spans="1:5">
      <c r="A9" s="274" t="s">
        <v>1131</v>
      </c>
      <c r="B9" s="275">
        <v>39965</v>
      </c>
      <c r="C9" s="275">
        <v>45000</v>
      </c>
      <c r="D9" s="272"/>
      <c r="E9" s="277"/>
    </row>
    <row r="10" ht="17.1" customHeight="1" spans="1:5">
      <c r="A10" s="274" t="s">
        <v>1132</v>
      </c>
      <c r="B10" s="275">
        <v>24116</v>
      </c>
      <c r="C10" s="275">
        <f>25000+15000</f>
        <v>40000</v>
      </c>
      <c r="D10" s="272"/>
      <c r="E10" s="277"/>
    </row>
    <row r="11" ht="17.1" customHeight="1" spans="1:5">
      <c r="A11" s="274" t="s">
        <v>1133</v>
      </c>
      <c r="B11" s="275">
        <v>7791</v>
      </c>
      <c r="C11" s="275">
        <f>8000-5000</f>
        <v>3000</v>
      </c>
      <c r="D11" s="272"/>
      <c r="E11" s="277"/>
    </row>
    <row r="12" ht="17.1" customHeight="1" spans="1:5">
      <c r="A12" s="274" t="s">
        <v>1175</v>
      </c>
      <c r="B12" s="275">
        <v>400</v>
      </c>
      <c r="C12" s="275">
        <v>700</v>
      </c>
      <c r="D12" s="272"/>
      <c r="E12" s="277"/>
    </row>
    <row r="13" ht="17.1" customHeight="1" spans="1:5">
      <c r="A13" s="274" t="s">
        <v>1134</v>
      </c>
      <c r="B13" s="275">
        <v>1517</v>
      </c>
      <c r="C13" s="275">
        <v>1000</v>
      </c>
      <c r="D13" s="272"/>
      <c r="E13" s="277"/>
    </row>
    <row r="14" ht="17.1" customHeight="1" spans="1:5">
      <c r="A14" s="274" t="s">
        <v>1136</v>
      </c>
      <c r="B14" s="275">
        <v>3431</v>
      </c>
      <c r="C14" s="275">
        <v>150</v>
      </c>
      <c r="D14" s="272"/>
      <c r="E14" s="277"/>
    </row>
    <row r="15" ht="17.1" customHeight="1" spans="1:5">
      <c r="A15" s="274" t="s">
        <v>1137</v>
      </c>
      <c r="B15" s="275">
        <v>3860</v>
      </c>
      <c r="C15" s="275">
        <v>2400</v>
      </c>
      <c r="D15" s="272"/>
      <c r="E15" s="277"/>
    </row>
    <row r="16" ht="17.1" customHeight="1" spans="1:5">
      <c r="A16" s="278" t="s">
        <v>1176</v>
      </c>
      <c r="B16" s="275">
        <v>23130</v>
      </c>
      <c r="C16" s="275">
        <v>52610</v>
      </c>
      <c r="D16" s="272"/>
      <c r="E16" s="277"/>
    </row>
    <row r="17" s="258" customFormat="1" ht="17.1" customHeight="1" spans="1:5">
      <c r="A17" s="270" t="s">
        <v>1139</v>
      </c>
      <c r="B17" s="271">
        <f>B20</f>
        <v>1500</v>
      </c>
      <c r="C17" s="271">
        <f>C18+C19+C20</f>
        <v>2000</v>
      </c>
      <c r="D17" s="272">
        <f t="shared" ref="D17:D22" si="0">(C17/B17-1)*100</f>
        <v>33.3333333333333</v>
      </c>
      <c r="E17" s="277"/>
    </row>
    <row r="18" ht="17.1" customHeight="1" spans="1:5">
      <c r="A18" s="274" t="s">
        <v>1129</v>
      </c>
      <c r="B18" s="275">
        <f>[3]表二2022年基金支出预算!D16</f>
        <v>0</v>
      </c>
      <c r="C18" s="275">
        <v>1000</v>
      </c>
      <c r="D18" s="275"/>
      <c r="E18" s="279"/>
    </row>
    <row r="19" ht="17.1" customHeight="1" spans="1:5">
      <c r="A19" s="274" t="s">
        <v>1130</v>
      </c>
      <c r="B19" s="275">
        <f>[3]表二2022年基金支出预算!D17</f>
        <v>0</v>
      </c>
      <c r="C19" s="275">
        <v>900</v>
      </c>
      <c r="D19" s="276"/>
      <c r="E19" s="277"/>
    </row>
    <row r="20" ht="17.1" customHeight="1" spans="1:5">
      <c r="A20" s="274" t="s">
        <v>1140</v>
      </c>
      <c r="B20" s="275">
        <v>1500</v>
      </c>
      <c r="C20" s="275">
        <v>100</v>
      </c>
      <c r="D20" s="276"/>
      <c r="E20" s="277"/>
    </row>
    <row r="21" s="258" customFormat="1" ht="17.1" customHeight="1" spans="1:5">
      <c r="A21" s="270" t="s">
        <v>1141</v>
      </c>
      <c r="B21" s="271">
        <v>300</v>
      </c>
      <c r="C21" s="271">
        <v>500</v>
      </c>
      <c r="D21" s="272">
        <f t="shared" si="0"/>
        <v>66.6666666666667</v>
      </c>
      <c r="E21" s="277"/>
    </row>
    <row r="22" s="258" customFormat="1" ht="17.1" customHeight="1" spans="1:5">
      <c r="A22" s="270" t="s">
        <v>1142</v>
      </c>
      <c r="B22" s="271">
        <f>SUM(B23:B25)</f>
        <v>10000</v>
      </c>
      <c r="C22" s="271">
        <f>SUM(C23:C25)</f>
        <v>10000</v>
      </c>
      <c r="D22" s="272">
        <f t="shared" si="0"/>
        <v>0</v>
      </c>
      <c r="E22" s="277"/>
    </row>
    <row r="23" ht="17.1" customHeight="1" spans="1:5">
      <c r="A23" s="274" t="s">
        <v>1143</v>
      </c>
      <c r="B23" s="275">
        <v>8000</v>
      </c>
      <c r="C23" s="275">
        <v>1000</v>
      </c>
      <c r="D23" s="276"/>
      <c r="E23" s="277"/>
    </row>
    <row r="24" ht="17.1" customHeight="1" spans="1:5">
      <c r="A24" s="274" t="s">
        <v>1144</v>
      </c>
      <c r="B24" s="275"/>
      <c r="C24" s="275">
        <v>8700</v>
      </c>
      <c r="D24" s="276"/>
      <c r="E24" s="277"/>
    </row>
    <row r="25" s="258" customFormat="1" ht="17.1" customHeight="1" spans="1:5">
      <c r="A25" s="274" t="s">
        <v>1145</v>
      </c>
      <c r="B25" s="275">
        <v>2000</v>
      </c>
      <c r="C25" s="275">
        <v>300</v>
      </c>
      <c r="D25" s="272"/>
      <c r="E25" s="277"/>
    </row>
    <row r="26" s="258" customFormat="1" ht="17.1" customHeight="1" spans="1:5">
      <c r="A26" s="270" t="s">
        <v>1146</v>
      </c>
      <c r="B26" s="271">
        <f>SUM(B27:B29)</f>
        <v>3000</v>
      </c>
      <c r="C26" s="271">
        <f>SUM(C27:C29)</f>
        <v>3000</v>
      </c>
      <c r="D26" s="272">
        <f>(C26/B26-1)*100</f>
        <v>0</v>
      </c>
      <c r="E26" s="277"/>
    </row>
    <row r="27" ht="17.1" customHeight="1" spans="1:5">
      <c r="A27" s="274" t="s">
        <v>1147</v>
      </c>
      <c r="B27" s="275">
        <v>2700</v>
      </c>
      <c r="C27" s="275">
        <v>2370</v>
      </c>
      <c r="D27" s="272"/>
      <c r="E27" s="280"/>
    </row>
    <row r="28" ht="17.1" customHeight="1" spans="1:5">
      <c r="A28" s="274" t="s">
        <v>1148</v>
      </c>
      <c r="B28" s="275">
        <v>300</v>
      </c>
      <c r="C28" s="275"/>
      <c r="D28" s="272"/>
      <c r="E28" s="277"/>
    </row>
    <row r="29" ht="17.1" customHeight="1" spans="1:5">
      <c r="A29" s="274" t="s">
        <v>1177</v>
      </c>
      <c r="B29" s="275"/>
      <c r="C29" s="275">
        <v>630</v>
      </c>
      <c r="D29" s="272"/>
      <c r="E29" s="277"/>
    </row>
    <row r="30" ht="17.1" customHeight="1" spans="1:5">
      <c r="A30" s="270" t="s">
        <v>1149</v>
      </c>
      <c r="B30" s="271">
        <f>SUM(B31:B36)</f>
        <v>4000</v>
      </c>
      <c r="C30" s="271">
        <f>SUM(C31:C36)</f>
        <v>3900</v>
      </c>
      <c r="D30" s="272">
        <f>(C30/B30-1)*100</f>
        <v>-2.5</v>
      </c>
      <c r="E30" s="277"/>
    </row>
    <row r="31" ht="15.95" customHeight="1" spans="1:5">
      <c r="A31" s="274" t="s">
        <v>1150</v>
      </c>
      <c r="B31" s="275">
        <v>1200</v>
      </c>
      <c r="C31" s="275">
        <v>1900</v>
      </c>
      <c r="D31" s="277"/>
      <c r="E31" s="277"/>
    </row>
    <row r="32" ht="15.95" customHeight="1" spans="1:5">
      <c r="A32" s="274" t="s">
        <v>1151</v>
      </c>
      <c r="B32" s="275">
        <v>747</v>
      </c>
      <c r="C32" s="275">
        <v>1924</v>
      </c>
      <c r="D32" s="277"/>
      <c r="E32" s="277"/>
    </row>
    <row r="33" ht="15.95" customHeight="1" spans="1:5">
      <c r="A33" s="274" t="s">
        <v>1152</v>
      </c>
      <c r="B33" s="275">
        <v>450</v>
      </c>
      <c r="C33" s="275">
        <v>60</v>
      </c>
      <c r="D33" s="277"/>
      <c r="E33" s="277"/>
    </row>
    <row r="34" ht="15.95" customHeight="1" spans="1:5">
      <c r="A34" s="274" t="s">
        <v>1153</v>
      </c>
      <c r="B34" s="275">
        <v>1550</v>
      </c>
      <c r="C34" s="275">
        <v>16</v>
      </c>
      <c r="D34" s="277"/>
      <c r="E34" s="277"/>
    </row>
    <row r="35" ht="15.95" customHeight="1" spans="1:5">
      <c r="A35" s="274" t="s">
        <v>1154</v>
      </c>
      <c r="B35" s="275">
        <v>3</v>
      </c>
      <c r="C35" s="275"/>
      <c r="D35" s="277"/>
      <c r="E35" s="277"/>
    </row>
    <row r="36" ht="15.95" customHeight="1" spans="1:5">
      <c r="A36" s="274" t="s">
        <v>1155</v>
      </c>
      <c r="B36" s="275">
        <v>50</v>
      </c>
      <c r="C36" s="275"/>
      <c r="D36" s="277"/>
      <c r="E36" s="277"/>
    </row>
    <row r="37" s="258" customFormat="1" ht="17.1" customHeight="1" spans="1:5">
      <c r="A37" s="281" t="s">
        <v>1156</v>
      </c>
      <c r="B37" s="267">
        <f t="shared" ref="B37:B40" si="1">B38</f>
        <v>60000</v>
      </c>
      <c r="C37" s="267">
        <f t="shared" ref="C37:C40" si="2">C38</f>
        <v>70000</v>
      </c>
      <c r="D37" s="268">
        <f>(C37/B37-1)*100</f>
        <v>16.6666666666667</v>
      </c>
      <c r="E37" s="282"/>
    </row>
    <row r="38" s="258" customFormat="1" ht="15" customHeight="1" spans="1:5">
      <c r="A38" s="270" t="s">
        <v>1157</v>
      </c>
      <c r="B38" s="271">
        <f t="shared" si="1"/>
        <v>60000</v>
      </c>
      <c r="C38" s="271">
        <f t="shared" si="2"/>
        <v>70000</v>
      </c>
      <c r="D38" s="282"/>
      <c r="E38" s="282"/>
    </row>
    <row r="39" ht="17.1" customHeight="1" spans="1:5">
      <c r="A39" s="283" t="s">
        <v>1158</v>
      </c>
      <c r="B39" s="275">
        <v>60000</v>
      </c>
      <c r="C39" s="275">
        <v>70000</v>
      </c>
      <c r="D39" s="268"/>
      <c r="E39" s="277"/>
    </row>
    <row r="40" ht="17.1" customHeight="1" spans="1:5">
      <c r="A40" s="281" t="s">
        <v>1178</v>
      </c>
      <c r="B40" s="267">
        <f t="shared" si="1"/>
        <v>0</v>
      </c>
      <c r="C40" s="267">
        <f t="shared" si="2"/>
        <v>22240</v>
      </c>
      <c r="D40" s="284"/>
      <c r="E40" s="277"/>
    </row>
    <row r="41" ht="17.1" customHeight="1" spans="1:5">
      <c r="A41" s="283" t="s">
        <v>1179</v>
      </c>
      <c r="B41" s="275"/>
      <c r="C41" s="275">
        <v>22240</v>
      </c>
      <c r="D41" s="277"/>
      <c r="E41" s="277"/>
    </row>
    <row r="42" ht="17.1" customHeight="1" spans="1:5">
      <c r="A42" s="281" t="s">
        <v>1159</v>
      </c>
      <c r="B42" s="267">
        <f>B43</f>
        <v>48500</v>
      </c>
      <c r="C42" s="267">
        <f>C43</f>
        <v>57405</v>
      </c>
      <c r="D42" s="284">
        <f>(C42/B42-1)*100</f>
        <v>18.360824742268</v>
      </c>
      <c r="E42" s="277"/>
    </row>
    <row r="43" ht="17.1" customHeight="1" spans="1:5">
      <c r="A43" s="283" t="s">
        <v>1160</v>
      </c>
      <c r="B43" s="275">
        <f>表二2023年基金支出预算!D41</f>
        <v>48500</v>
      </c>
      <c r="C43" s="275">
        <v>57405</v>
      </c>
      <c r="D43" s="277"/>
      <c r="E43" s="277"/>
    </row>
    <row r="44" s="258" customFormat="1" ht="17.1" customHeight="1" spans="1:5">
      <c r="A44" s="281" t="s">
        <v>1161</v>
      </c>
      <c r="B44" s="267">
        <f>B45</f>
        <v>360</v>
      </c>
      <c r="C44" s="267">
        <f>C45</f>
        <v>476</v>
      </c>
      <c r="D44" s="268">
        <f>(C44/B44-1)*100</f>
        <v>32.2222222222222</v>
      </c>
      <c r="E44" s="285"/>
    </row>
    <row r="45" ht="17.1" customHeight="1" spans="1:5">
      <c r="A45" s="274" t="s">
        <v>1180</v>
      </c>
      <c r="B45" s="275">
        <f>表二2023年基金支出预算!D44</f>
        <v>360</v>
      </c>
      <c r="C45" s="275">
        <v>476</v>
      </c>
      <c r="D45" s="286"/>
      <c r="E45" s="286"/>
    </row>
    <row r="46" ht="18" customHeight="1" spans="1:5">
      <c r="A46" s="287" t="s">
        <v>1166</v>
      </c>
      <c r="B46" s="267">
        <f>B47</f>
        <v>254400</v>
      </c>
      <c r="C46" s="288"/>
      <c r="D46" s="289"/>
      <c r="E46" s="289"/>
    </row>
    <row r="47" ht="15" spans="1:5">
      <c r="A47" s="290" t="s">
        <v>1181</v>
      </c>
      <c r="B47" s="275">
        <v>254400</v>
      </c>
      <c r="C47" s="275"/>
      <c r="D47" s="286"/>
      <c r="E47" s="286"/>
    </row>
    <row r="48" ht="15" spans="1:5">
      <c r="A48" s="291" t="s">
        <v>1168</v>
      </c>
      <c r="B48" s="267">
        <f>B5+B37+B42+B44+B46</f>
        <v>571400</v>
      </c>
      <c r="C48" s="267">
        <f>C44+C42+C37+C5+C40</f>
        <v>370900</v>
      </c>
      <c r="D48" s="268">
        <f>(C48/B48-1)*100</f>
        <v>-35.0892544627231</v>
      </c>
      <c r="E48" s="286"/>
    </row>
    <row r="51" spans="3:3">
      <c r="C51" s="292"/>
    </row>
  </sheetData>
  <mergeCells count="2">
    <mergeCell ref="A2:E2"/>
    <mergeCell ref="C3:D3"/>
  </mergeCells>
  <printOptions horizontalCentered="1"/>
  <pageMargins left="0.432638888888889" right="0.393055555555556" top="0.786805555555556" bottom="0.786805555555556" header="0.590277777777778" footer="0.590277777777778"/>
  <pageSetup paperSize="9" firstPageNumber="48" orientation="portrait" useFirstPageNumber="1" horizontalDpi="600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G13"/>
  <sheetViews>
    <sheetView workbookViewId="0">
      <selection activeCell="B2" sqref="B2:E2"/>
    </sheetView>
  </sheetViews>
  <sheetFormatPr defaultColWidth="9.125" defaultRowHeight="14.25" customHeight="1" outlineLevelCol="6"/>
  <cols>
    <col min="1" max="1" width="9.125" style="359" customWidth="1"/>
    <col min="2" max="2" width="17" style="359" customWidth="1"/>
    <col min="3" max="3" width="71" style="296" customWidth="1"/>
    <col min="4" max="4" width="13.75" style="380" customWidth="1"/>
    <col min="5" max="5" width="7.375" style="296" customWidth="1"/>
    <col min="6" max="16384" width="9.125" style="359"/>
  </cols>
  <sheetData>
    <row r="1" ht="22.5" customHeight="1" spans="2:5">
      <c r="B1" s="381"/>
      <c r="C1" s="383"/>
      <c r="D1" s="382"/>
      <c r="E1" s="383"/>
    </row>
    <row r="2" ht="45" customHeight="1" spans="2:7">
      <c r="B2" s="828" t="s">
        <v>4</v>
      </c>
      <c r="C2" s="828"/>
      <c r="D2" s="828"/>
      <c r="E2" s="828"/>
      <c r="F2" s="834"/>
      <c r="G2" s="834"/>
    </row>
    <row r="3" ht="22.5" customHeight="1" spans="2:5">
      <c r="B3" s="381"/>
      <c r="C3" s="383"/>
      <c r="D3" s="382"/>
      <c r="E3" s="383"/>
    </row>
    <row r="4" ht="45" customHeight="1" spans="2:5">
      <c r="B4" s="835" t="s">
        <v>5</v>
      </c>
      <c r="C4" s="836" t="s">
        <v>6</v>
      </c>
      <c r="D4" s="837"/>
      <c r="E4" s="838"/>
    </row>
    <row r="5" ht="45" customHeight="1" spans="2:5">
      <c r="B5" s="835" t="s">
        <v>7</v>
      </c>
      <c r="C5" s="836" t="s">
        <v>8</v>
      </c>
      <c r="D5" s="837"/>
      <c r="E5" s="838"/>
    </row>
    <row r="6" ht="45" customHeight="1" spans="2:5">
      <c r="B6" s="835" t="s">
        <v>9</v>
      </c>
      <c r="C6" s="836" t="s">
        <v>10</v>
      </c>
      <c r="D6" s="839"/>
      <c r="E6" s="838"/>
    </row>
    <row r="7" ht="45" customHeight="1" spans="2:5">
      <c r="B7" s="835" t="s">
        <v>11</v>
      </c>
      <c r="C7" s="836" t="s">
        <v>12</v>
      </c>
      <c r="D7" s="837"/>
      <c r="E7" s="838"/>
    </row>
    <row r="8" ht="30" customHeight="1" spans="2:5">
      <c r="B8" s="840"/>
      <c r="C8" s="841"/>
      <c r="D8" s="842"/>
      <c r="E8" s="838"/>
    </row>
    <row r="9" ht="30" customHeight="1" spans="2:5">
      <c r="B9" s="381"/>
      <c r="E9" s="391"/>
    </row>
    <row r="10" ht="30" customHeight="1" spans="2:5">
      <c r="B10" s="381"/>
      <c r="E10" s="391"/>
    </row>
    <row r="11" ht="30" customHeight="1" spans="2:5">
      <c r="B11" s="381"/>
      <c r="E11" s="391"/>
    </row>
    <row r="12" ht="30" customHeight="1" spans="2:5">
      <c r="B12" s="381"/>
      <c r="C12" s="383"/>
      <c r="D12" s="382"/>
      <c r="E12" s="391"/>
    </row>
    <row r="13" ht="37.5" customHeight="1" spans="2:5">
      <c r="B13" s="381"/>
      <c r="C13" s="383"/>
      <c r="D13" s="382"/>
      <c r="E13" s="391"/>
    </row>
  </sheetData>
  <mergeCells count="1">
    <mergeCell ref="B2:E2"/>
  </mergeCells>
  <pageMargins left="0.747916666666667" right="0.747916666666667" top="0.984027777777778" bottom="0.786805555555556" header="0.511805555555556" footer="0.590277777777778"/>
  <pageSetup paperSize="9" firstPageNumber="2" orientation="landscape" useFirstPageNumber="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selection activeCell="A3" sqref="A3:K5"/>
    </sheetView>
  </sheetViews>
  <sheetFormatPr defaultColWidth="9" defaultRowHeight="15"/>
  <cols>
    <col min="1" max="2" width="9.125" style="110"/>
    <col min="3" max="5" width="9.125" style="37"/>
    <col min="6" max="256" width="9.125" style="110"/>
  </cols>
  <sheetData>
    <row r="1" spans="1:2">
      <c r="A1" s="248"/>
      <c r="B1" s="249"/>
    </row>
    <row r="2" spans="1:11">
      <c r="A2" s="250"/>
      <c r="B2" s="250"/>
      <c r="C2" s="251"/>
      <c r="D2" s="251"/>
      <c r="E2" s="251"/>
      <c r="F2" s="250"/>
      <c r="G2" s="250"/>
      <c r="H2" s="250"/>
      <c r="I2" s="250"/>
      <c r="J2" s="250"/>
      <c r="K2" s="250"/>
    </row>
    <row r="3" ht="26.5" spans="1:11">
      <c r="A3" s="252" t="s">
        <v>1182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</row>
    <row r="4" ht="24" spans="1:11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</row>
    <row r="5" ht="26.5" spans="1:11">
      <c r="A5" s="252" t="s">
        <v>1183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</row>
    <row r="6" spans="1:11">
      <c r="A6" s="250"/>
      <c r="B6" s="250"/>
      <c r="C6" s="251"/>
      <c r="D6" s="251"/>
      <c r="E6" s="251"/>
      <c r="F6" s="250"/>
      <c r="G6" s="250"/>
      <c r="H6" s="250"/>
      <c r="I6" s="250"/>
      <c r="J6" s="250"/>
      <c r="K6" s="250"/>
    </row>
    <row r="7" spans="1:11">
      <c r="A7" s="250"/>
      <c r="B7" s="250"/>
      <c r="C7" s="251"/>
      <c r="D7" s="251"/>
      <c r="E7" s="251"/>
      <c r="F7" s="250"/>
      <c r="G7" s="250"/>
      <c r="H7" s="250"/>
      <c r="I7" s="250"/>
      <c r="J7" s="250"/>
      <c r="K7" s="250"/>
    </row>
    <row r="8" spans="1:11">
      <c r="A8" s="250"/>
      <c r="B8" s="250"/>
      <c r="C8" s="251"/>
      <c r="D8" s="251"/>
      <c r="E8" s="251"/>
      <c r="F8" s="250"/>
      <c r="G8" s="250"/>
      <c r="H8" s="250"/>
      <c r="I8" s="250"/>
      <c r="J8" s="250"/>
      <c r="K8" s="250"/>
    </row>
    <row r="9" spans="1:11">
      <c r="A9" s="250"/>
      <c r="B9" s="250"/>
      <c r="C9" s="251"/>
      <c r="D9" s="251"/>
      <c r="E9" s="251"/>
      <c r="F9" s="250"/>
      <c r="G9" s="250"/>
      <c r="H9" s="250"/>
      <c r="I9" s="250"/>
      <c r="J9" s="250"/>
      <c r="K9" s="250"/>
    </row>
    <row r="10" spans="1:11">
      <c r="A10" s="250"/>
      <c r="B10" s="250"/>
      <c r="C10" s="251"/>
      <c r="D10" s="251"/>
      <c r="E10" s="251"/>
      <c r="F10" s="250"/>
      <c r="G10" s="250"/>
      <c r="H10" s="250"/>
      <c r="I10" s="250"/>
      <c r="J10" s="250"/>
      <c r="K10" s="250"/>
    </row>
    <row r="11" spans="1:11">
      <c r="A11" s="250"/>
      <c r="B11" s="250"/>
      <c r="C11" s="251"/>
      <c r="D11" s="251"/>
      <c r="E11" s="251"/>
      <c r="F11" s="250"/>
      <c r="G11" s="250"/>
      <c r="H11" s="250"/>
      <c r="I11" s="250"/>
      <c r="J11" s="250"/>
      <c r="K11" s="250"/>
    </row>
    <row r="12" ht="21" spans="1:11">
      <c r="A12" s="116" t="s">
        <v>15</v>
      </c>
      <c r="B12" s="116"/>
      <c r="C12" s="117"/>
      <c r="D12" s="117"/>
      <c r="E12" s="118" t="s">
        <v>1</v>
      </c>
      <c r="F12" s="119"/>
      <c r="G12" s="119"/>
      <c r="H12" s="116"/>
      <c r="I12" s="116"/>
      <c r="J12" s="116"/>
      <c r="K12" s="116"/>
    </row>
    <row r="13" ht="18.5" spans="2:9">
      <c r="B13" s="120"/>
      <c r="C13" s="121"/>
      <c r="D13" s="121"/>
      <c r="E13" s="121"/>
      <c r="F13" s="122"/>
      <c r="G13" s="37"/>
      <c r="H13" s="37"/>
      <c r="I13" s="37"/>
    </row>
    <row r="14" ht="21" spans="1:11">
      <c r="A14" s="123" t="s">
        <v>3</v>
      </c>
      <c r="B14" s="123"/>
      <c r="C14" s="124"/>
      <c r="D14" s="124"/>
      <c r="E14" s="124" t="s">
        <v>2</v>
      </c>
      <c r="F14" s="123"/>
      <c r="G14" s="123"/>
      <c r="H14" s="123"/>
      <c r="I14" s="123"/>
      <c r="J14" s="123"/>
      <c r="K14" s="123"/>
    </row>
    <row r="15" spans="1:11">
      <c r="A15" s="250"/>
      <c r="B15" s="250"/>
      <c r="C15" s="251"/>
      <c r="D15" s="251"/>
      <c r="E15" s="251"/>
      <c r="F15" s="250"/>
      <c r="G15" s="250"/>
      <c r="H15" s="250"/>
      <c r="I15" s="250"/>
      <c r="J15" s="250"/>
      <c r="K15" s="250"/>
    </row>
    <row r="16" spans="1:11">
      <c r="A16" s="250"/>
      <c r="B16" s="250"/>
      <c r="C16" s="251"/>
      <c r="D16" s="251"/>
      <c r="E16" s="251"/>
      <c r="F16" s="250"/>
      <c r="G16" s="250"/>
      <c r="H16" s="250"/>
      <c r="I16" s="250"/>
      <c r="J16" s="250"/>
      <c r="K16" s="250"/>
    </row>
    <row r="17" spans="1:11">
      <c r="A17" s="250"/>
      <c r="B17" s="250"/>
      <c r="C17" s="251"/>
      <c r="D17" s="251"/>
      <c r="E17" s="251"/>
      <c r="F17" s="250"/>
      <c r="G17" s="250"/>
      <c r="H17" s="250"/>
      <c r="I17" s="250"/>
      <c r="J17" s="250"/>
      <c r="K17" s="250"/>
    </row>
    <row r="18" ht="18" spans="1:11">
      <c r="A18" s="254"/>
      <c r="B18" s="254" t="s">
        <v>3</v>
      </c>
      <c r="C18" s="254"/>
      <c r="D18" s="254"/>
      <c r="E18" s="254"/>
      <c r="F18" s="254"/>
      <c r="G18" s="254"/>
      <c r="H18" s="254"/>
      <c r="I18" s="254"/>
      <c r="J18" s="254"/>
      <c r="K18" s="254"/>
    </row>
  </sheetData>
  <mergeCells count="5">
    <mergeCell ref="A1:B1"/>
    <mergeCell ref="A3:K3"/>
    <mergeCell ref="A4:K4"/>
    <mergeCell ref="A5:K5"/>
    <mergeCell ref="B18:K18"/>
  </mergeCells>
  <printOptions horizontalCentered="1" verticalCentered="1"/>
  <pageMargins left="0.708333333333333" right="0.708333333333333" top="0.747916666666667" bottom="0.747916666666667" header="0.314583333333333" footer="0.590277777777778"/>
  <pageSetup paperSize="9" firstPageNumber="51" orientation="landscape" useFirstPageNumber="1" horizontalDpi="600"/>
  <headerFooter>
    <oddFooter>&amp;C50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workbookViewId="0">
      <selection activeCell="D9" sqref="D9"/>
    </sheetView>
  </sheetViews>
  <sheetFormatPr defaultColWidth="9" defaultRowHeight="15" outlineLevelCol="4"/>
  <cols>
    <col min="1" max="1" width="9.125" style="110"/>
    <col min="2" max="2" width="72.375" style="110" customWidth="1"/>
    <col min="3" max="3" width="9.125" style="238"/>
    <col min="4" max="5" width="9.125" style="37"/>
    <col min="6" max="256" width="9.125" style="110"/>
  </cols>
  <sheetData>
    <row r="1" spans="1:4">
      <c r="A1" s="239"/>
      <c r="B1" s="239"/>
      <c r="C1" s="240"/>
      <c r="D1" s="59"/>
    </row>
    <row r="2" ht="26.5" spans="1:4">
      <c r="A2" s="241" t="s">
        <v>4</v>
      </c>
      <c r="B2" s="241"/>
      <c r="C2" s="241"/>
      <c r="D2" s="242"/>
    </row>
    <row r="3" ht="33.75" customHeight="1" spans="1:4">
      <c r="A3" s="239"/>
      <c r="B3" s="239"/>
      <c r="C3" s="240"/>
      <c r="D3" s="59"/>
    </row>
    <row r="4" ht="45.95" customHeight="1" spans="1:4">
      <c r="A4" s="239"/>
      <c r="B4" s="107" t="s">
        <v>1184</v>
      </c>
      <c r="C4" s="243" t="s">
        <v>17</v>
      </c>
      <c r="D4" s="244"/>
    </row>
    <row r="5" ht="45.95" customHeight="1" spans="1:4">
      <c r="A5" s="239"/>
      <c r="B5" s="107" t="s">
        <v>1185</v>
      </c>
      <c r="C5" s="243" t="s">
        <v>19</v>
      </c>
      <c r="D5" s="244"/>
    </row>
    <row r="6" ht="45.95" customHeight="1" spans="1:5">
      <c r="A6" s="239"/>
      <c r="B6" s="107" t="s">
        <v>1186</v>
      </c>
      <c r="C6" s="245" t="s">
        <v>21</v>
      </c>
      <c r="D6" s="244"/>
      <c r="E6" s="246"/>
    </row>
    <row r="7" ht="45.95" customHeight="1" spans="1:4">
      <c r="A7" s="239"/>
      <c r="B7" s="107" t="s">
        <v>1187</v>
      </c>
      <c r="C7" s="243" t="s">
        <v>23</v>
      </c>
      <c r="D7" s="244"/>
    </row>
    <row r="8" ht="45.95" customHeight="1" spans="1:4">
      <c r="A8" s="239"/>
      <c r="B8" s="107" t="s">
        <v>1188</v>
      </c>
      <c r="C8" s="243" t="s">
        <v>25</v>
      </c>
      <c r="D8" s="244"/>
    </row>
    <row r="9" ht="45.95" customHeight="1" spans="1:4">
      <c r="A9" s="239"/>
      <c r="D9" s="247"/>
    </row>
    <row r="10" spans="1:4">
      <c r="A10" s="239"/>
      <c r="D10" s="247"/>
    </row>
    <row r="11" spans="1:4">
      <c r="A11" s="239"/>
      <c r="D11" s="247"/>
    </row>
    <row r="12" spans="1:4">
      <c r="A12" s="239"/>
      <c r="D12" s="247"/>
    </row>
    <row r="13" spans="1:4">
      <c r="A13" s="239"/>
      <c r="B13" s="239"/>
      <c r="C13" s="240"/>
      <c r="D13" s="247"/>
    </row>
    <row r="14" spans="1:4">
      <c r="A14" s="239"/>
      <c r="B14" s="239"/>
      <c r="C14" s="240"/>
      <c r="D14" s="247"/>
    </row>
    <row r="15" spans="1:4">
      <c r="A15" s="239"/>
      <c r="D15" s="247"/>
    </row>
  </sheetData>
  <mergeCells count="1">
    <mergeCell ref="A2:C2"/>
  </mergeCells>
  <printOptions horizontalCentered="1" verticalCentered="1"/>
  <pageMargins left="0.708333333333333" right="0.708333333333333" top="0.747916666666667" bottom="0.747916666666667" header="0.314583333333333" footer="0.590277777777778"/>
  <pageSetup paperSize="9" firstPageNumber="52" orientation="landscape" useFirstPageNumber="1" horizontalDpi="600"/>
  <headerFooter>
    <oddFooter>&amp;C51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7"/>
  <sheetViews>
    <sheetView workbookViewId="0">
      <selection activeCell="A2" sqref="A2:J2"/>
    </sheetView>
  </sheetViews>
  <sheetFormatPr defaultColWidth="9" defaultRowHeight="15"/>
  <cols>
    <col min="1" max="1" width="30.625" customWidth="1"/>
    <col min="2" max="2" width="9.75" customWidth="1"/>
    <col min="3" max="3" width="9.5" style="111" customWidth="1"/>
    <col min="4" max="4" width="10.375" style="111" customWidth="1"/>
    <col min="5" max="5" width="9.875" style="111" customWidth="1"/>
    <col min="6" max="6" width="30.25" customWidth="1"/>
    <col min="7" max="7" width="9.5" customWidth="1"/>
    <col min="8" max="8" width="9.75" customWidth="1"/>
    <col min="9" max="9" width="10.25" customWidth="1"/>
    <col min="10" max="10" width="9.875" customWidth="1"/>
  </cols>
  <sheetData>
    <row r="1" spans="1:256">
      <c r="A1" s="176" t="s">
        <v>34</v>
      </c>
      <c r="B1" s="110"/>
      <c r="C1" s="37"/>
      <c r="D1" s="178"/>
      <c r="E1" s="178"/>
      <c r="F1" s="110"/>
      <c r="G1" s="110"/>
      <c r="H1" s="110"/>
      <c r="I1" s="231"/>
      <c r="J1" s="231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  <c r="HJ1" s="110"/>
      <c r="HK1" s="110"/>
      <c r="HL1" s="110"/>
      <c r="HM1" s="110"/>
      <c r="HN1" s="110"/>
      <c r="HO1" s="110"/>
      <c r="HP1" s="110"/>
      <c r="HQ1" s="110"/>
      <c r="HR1" s="110"/>
      <c r="HS1" s="110"/>
      <c r="HT1" s="110"/>
      <c r="HU1" s="110"/>
      <c r="HV1" s="110"/>
      <c r="HW1" s="110"/>
      <c r="HX1" s="110"/>
      <c r="HY1" s="110"/>
      <c r="HZ1" s="110"/>
      <c r="IA1" s="110"/>
      <c r="IB1" s="110"/>
      <c r="IC1" s="110"/>
      <c r="ID1" s="110"/>
      <c r="IE1" s="110"/>
      <c r="IF1" s="110"/>
      <c r="IG1" s="110"/>
      <c r="IH1" s="110"/>
      <c r="II1" s="110"/>
      <c r="IJ1" s="110"/>
      <c r="IK1" s="110"/>
      <c r="IL1" s="110"/>
      <c r="IM1" s="110"/>
      <c r="IN1" s="110"/>
      <c r="IO1" s="110"/>
      <c r="IP1" s="110"/>
      <c r="IQ1" s="110"/>
      <c r="IR1" s="110"/>
      <c r="IS1" s="110"/>
      <c r="IT1" s="110"/>
      <c r="IU1" s="110"/>
      <c r="IV1" s="110"/>
    </row>
    <row r="2" ht="24" spans="1:256">
      <c r="A2" s="126" t="s">
        <v>1189</v>
      </c>
      <c r="B2" s="126"/>
      <c r="C2" s="126"/>
      <c r="D2" s="126"/>
      <c r="E2" s="126"/>
      <c r="F2" s="126"/>
      <c r="G2" s="126"/>
      <c r="H2" s="126"/>
      <c r="I2" s="126"/>
      <c r="J2" s="126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  <c r="FO2" s="110"/>
      <c r="FP2" s="110"/>
      <c r="FQ2" s="110"/>
      <c r="FR2" s="110"/>
      <c r="FS2" s="110"/>
      <c r="FT2" s="110"/>
      <c r="FU2" s="110"/>
      <c r="FV2" s="110"/>
      <c r="FW2" s="110"/>
      <c r="FX2" s="110"/>
      <c r="FY2" s="110"/>
      <c r="FZ2" s="110"/>
      <c r="GA2" s="110"/>
      <c r="GB2" s="110"/>
      <c r="GC2" s="110"/>
      <c r="GD2" s="110"/>
      <c r="GE2" s="110"/>
      <c r="GF2" s="110"/>
      <c r="GG2" s="110"/>
      <c r="GH2" s="110"/>
      <c r="GI2" s="110"/>
      <c r="GJ2" s="110"/>
      <c r="GK2" s="110"/>
      <c r="GL2" s="110"/>
      <c r="GM2" s="110"/>
      <c r="GN2" s="110"/>
      <c r="GO2" s="110"/>
      <c r="GP2" s="110"/>
      <c r="GQ2" s="110"/>
      <c r="GR2" s="110"/>
      <c r="GS2" s="110"/>
      <c r="GT2" s="110"/>
      <c r="GU2" s="110"/>
      <c r="GV2" s="110"/>
      <c r="GW2" s="110"/>
      <c r="GX2" s="110"/>
      <c r="GY2" s="110"/>
      <c r="GZ2" s="110"/>
      <c r="HA2" s="110"/>
      <c r="HB2" s="110"/>
      <c r="HC2" s="110"/>
      <c r="HD2" s="110"/>
      <c r="HE2" s="110"/>
      <c r="HF2" s="110"/>
      <c r="HG2" s="110"/>
      <c r="HH2" s="110"/>
      <c r="HI2" s="110"/>
      <c r="HJ2" s="110"/>
      <c r="HK2" s="110"/>
      <c r="HL2" s="110"/>
      <c r="HM2" s="110"/>
      <c r="HN2" s="110"/>
      <c r="HO2" s="110"/>
      <c r="HP2" s="110"/>
      <c r="HQ2" s="110"/>
      <c r="HR2" s="110"/>
      <c r="HS2" s="110"/>
      <c r="HT2" s="110"/>
      <c r="HU2" s="110"/>
      <c r="HV2" s="110"/>
      <c r="HW2" s="110"/>
      <c r="HX2" s="110"/>
      <c r="HY2" s="110"/>
      <c r="HZ2" s="110"/>
      <c r="IA2" s="110"/>
      <c r="IB2" s="110"/>
      <c r="IC2" s="110"/>
      <c r="ID2" s="110"/>
      <c r="IE2" s="110"/>
      <c r="IF2" s="110"/>
      <c r="IG2" s="110"/>
      <c r="IH2" s="110"/>
      <c r="II2" s="110"/>
      <c r="IJ2" s="110"/>
      <c r="IK2" s="110"/>
      <c r="IL2" s="110"/>
      <c r="IM2" s="110"/>
      <c r="IN2" s="110"/>
      <c r="IO2" s="110"/>
      <c r="IP2" s="110"/>
      <c r="IQ2" s="110"/>
      <c r="IR2" s="110"/>
      <c r="IS2" s="110"/>
      <c r="IT2" s="110"/>
      <c r="IU2" s="110"/>
      <c r="IV2" s="110"/>
    </row>
    <row r="3" ht="15.5" spans="1:256">
      <c r="A3" s="205"/>
      <c r="B3" s="206"/>
      <c r="C3" s="207"/>
      <c r="D3" s="208"/>
      <c r="E3" s="208"/>
      <c r="F3" s="206"/>
      <c r="G3" s="209" t="s">
        <v>36</v>
      </c>
      <c r="H3" s="209"/>
      <c r="I3" s="209"/>
      <c r="J3" s="209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  <c r="AY3" s="232"/>
      <c r="AZ3" s="232"/>
      <c r="BA3" s="232"/>
      <c r="BB3" s="232"/>
      <c r="BC3" s="232"/>
      <c r="BD3" s="232"/>
      <c r="BE3" s="232"/>
      <c r="BF3" s="232"/>
      <c r="BG3" s="232"/>
      <c r="BH3" s="232"/>
      <c r="BI3" s="232"/>
      <c r="BJ3" s="232"/>
      <c r="BK3" s="232"/>
      <c r="BL3" s="232"/>
      <c r="BM3" s="232"/>
      <c r="BN3" s="232"/>
      <c r="BO3" s="232"/>
      <c r="BP3" s="232"/>
      <c r="BQ3" s="232"/>
      <c r="BR3" s="232"/>
      <c r="BS3" s="232"/>
      <c r="BT3" s="232"/>
      <c r="BU3" s="232"/>
      <c r="BV3" s="232"/>
      <c r="BW3" s="232"/>
      <c r="BX3" s="232"/>
      <c r="BY3" s="232"/>
      <c r="BZ3" s="232"/>
      <c r="CA3" s="232"/>
      <c r="CB3" s="232"/>
      <c r="CC3" s="232"/>
      <c r="CD3" s="232"/>
      <c r="CE3" s="232"/>
      <c r="CF3" s="232"/>
      <c r="CG3" s="232"/>
      <c r="CH3" s="232"/>
      <c r="CI3" s="232"/>
      <c r="CJ3" s="232"/>
      <c r="CK3" s="232"/>
      <c r="CL3" s="232"/>
      <c r="CM3" s="232"/>
      <c r="CN3" s="232"/>
      <c r="CO3" s="232"/>
      <c r="CP3" s="232"/>
      <c r="CQ3" s="232"/>
      <c r="CR3" s="232"/>
      <c r="CS3" s="232"/>
      <c r="CT3" s="232"/>
      <c r="CU3" s="232"/>
      <c r="CV3" s="232"/>
      <c r="CW3" s="232"/>
      <c r="CX3" s="232"/>
      <c r="CY3" s="232"/>
      <c r="CZ3" s="232"/>
      <c r="DA3" s="232"/>
      <c r="DB3" s="232"/>
      <c r="DC3" s="232"/>
      <c r="DD3" s="232"/>
      <c r="DE3" s="232"/>
      <c r="DF3" s="232"/>
      <c r="DG3" s="232"/>
      <c r="DH3" s="232"/>
      <c r="DI3" s="232"/>
      <c r="DJ3" s="232"/>
      <c r="DK3" s="232"/>
      <c r="DL3" s="232"/>
      <c r="DM3" s="232"/>
      <c r="DN3" s="232"/>
      <c r="DO3" s="232"/>
      <c r="DP3" s="232"/>
      <c r="DQ3" s="232"/>
      <c r="DR3" s="232"/>
      <c r="DS3" s="232"/>
      <c r="DT3" s="232"/>
      <c r="DU3" s="232"/>
      <c r="DV3" s="232"/>
      <c r="DW3" s="232"/>
      <c r="DX3" s="232"/>
      <c r="DY3" s="232"/>
      <c r="DZ3" s="232"/>
      <c r="EA3" s="232"/>
      <c r="EB3" s="232"/>
      <c r="EC3" s="232"/>
      <c r="ED3" s="232"/>
      <c r="EE3" s="232"/>
      <c r="EF3" s="232"/>
      <c r="EG3" s="232"/>
      <c r="EH3" s="232"/>
      <c r="EI3" s="232"/>
      <c r="EJ3" s="232"/>
      <c r="EK3" s="232"/>
      <c r="EL3" s="232"/>
      <c r="EM3" s="232"/>
      <c r="EN3" s="232"/>
      <c r="EO3" s="232"/>
      <c r="EP3" s="232"/>
      <c r="EQ3" s="232"/>
      <c r="ER3" s="232"/>
      <c r="ES3" s="232"/>
      <c r="ET3" s="232"/>
      <c r="EU3" s="232"/>
      <c r="EV3" s="232"/>
      <c r="EW3" s="232"/>
      <c r="EX3" s="232"/>
      <c r="EY3" s="232"/>
      <c r="EZ3" s="232"/>
      <c r="FA3" s="232"/>
      <c r="FB3" s="232"/>
      <c r="FC3" s="232"/>
      <c r="FD3" s="232"/>
      <c r="FE3" s="232"/>
      <c r="FF3" s="232"/>
      <c r="FG3" s="232"/>
      <c r="FH3" s="232"/>
      <c r="FI3" s="232"/>
      <c r="FJ3" s="232"/>
      <c r="FK3" s="232"/>
      <c r="FL3" s="232"/>
      <c r="FM3" s="232"/>
      <c r="FN3" s="232"/>
      <c r="FO3" s="232"/>
      <c r="FP3" s="232"/>
      <c r="FQ3" s="232"/>
      <c r="FR3" s="232"/>
      <c r="FS3" s="232"/>
      <c r="FT3" s="232"/>
      <c r="FU3" s="232"/>
      <c r="FV3" s="232"/>
      <c r="FW3" s="232"/>
      <c r="FX3" s="232"/>
      <c r="FY3" s="232"/>
      <c r="FZ3" s="232"/>
      <c r="GA3" s="232"/>
      <c r="GB3" s="232"/>
      <c r="GC3" s="232"/>
      <c r="GD3" s="232"/>
      <c r="GE3" s="232"/>
      <c r="GF3" s="232"/>
      <c r="GG3" s="232"/>
      <c r="GH3" s="232"/>
      <c r="GI3" s="232"/>
      <c r="GJ3" s="232"/>
      <c r="GK3" s="232"/>
      <c r="GL3" s="232"/>
      <c r="GM3" s="232"/>
      <c r="GN3" s="232"/>
      <c r="GO3" s="232"/>
      <c r="GP3" s="232"/>
      <c r="GQ3" s="232"/>
      <c r="GR3" s="232"/>
      <c r="GS3" s="232"/>
      <c r="GT3" s="232"/>
      <c r="GU3" s="232"/>
      <c r="GV3" s="232"/>
      <c r="GW3" s="232"/>
      <c r="GX3" s="232"/>
      <c r="GY3" s="232"/>
      <c r="GZ3" s="232"/>
      <c r="HA3" s="232"/>
      <c r="HB3" s="232"/>
      <c r="HC3" s="232"/>
      <c r="HD3" s="232"/>
      <c r="HE3" s="232"/>
      <c r="HF3" s="232"/>
      <c r="HG3" s="232"/>
      <c r="HH3" s="232"/>
      <c r="HI3" s="232"/>
      <c r="HJ3" s="232"/>
      <c r="HK3" s="232"/>
      <c r="HL3" s="232"/>
      <c r="HM3" s="232"/>
      <c r="HN3" s="232"/>
      <c r="HO3" s="232"/>
      <c r="HP3" s="232"/>
      <c r="HQ3" s="232"/>
      <c r="HR3" s="232"/>
      <c r="HS3" s="232"/>
      <c r="HT3" s="232"/>
      <c r="HU3" s="232"/>
      <c r="HV3" s="232"/>
      <c r="HW3" s="232"/>
      <c r="HX3" s="232"/>
      <c r="HY3" s="232"/>
      <c r="HZ3" s="232"/>
      <c r="IA3" s="232"/>
      <c r="IB3" s="232"/>
      <c r="IC3" s="232"/>
      <c r="ID3" s="232"/>
      <c r="IE3" s="232"/>
      <c r="IF3" s="232"/>
      <c r="IG3" s="232"/>
      <c r="IH3" s="232"/>
      <c r="II3" s="232"/>
      <c r="IJ3" s="232"/>
      <c r="IK3" s="232"/>
      <c r="IL3" s="232"/>
      <c r="IM3" s="232"/>
      <c r="IN3" s="232"/>
      <c r="IO3" s="232"/>
      <c r="IP3" s="232"/>
      <c r="IQ3" s="232"/>
      <c r="IR3" s="232"/>
      <c r="IS3" s="232"/>
      <c r="IT3" s="232"/>
      <c r="IU3" s="232"/>
      <c r="IV3" s="232"/>
    </row>
    <row r="4" ht="15.5" spans="1:256">
      <c r="A4" s="154" t="s">
        <v>1190</v>
      </c>
      <c r="B4" s="154"/>
      <c r="C4" s="154"/>
      <c r="D4" s="154"/>
      <c r="E4" s="154"/>
      <c r="F4" s="154" t="s">
        <v>1191</v>
      </c>
      <c r="G4" s="154"/>
      <c r="H4" s="154"/>
      <c r="I4" s="154"/>
      <c r="J4" s="154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3"/>
      <c r="BJ4" s="233"/>
      <c r="BK4" s="233"/>
      <c r="BL4" s="233"/>
      <c r="BM4" s="233"/>
      <c r="BN4" s="233"/>
      <c r="BO4" s="233"/>
      <c r="BP4" s="233"/>
      <c r="BQ4" s="233"/>
      <c r="BR4" s="233"/>
      <c r="BS4" s="233"/>
      <c r="BT4" s="233"/>
      <c r="BU4" s="233"/>
      <c r="BV4" s="233"/>
      <c r="BW4" s="233"/>
      <c r="BX4" s="233"/>
      <c r="BY4" s="233"/>
      <c r="BZ4" s="233"/>
      <c r="CA4" s="233"/>
      <c r="CB4" s="233"/>
      <c r="CC4" s="233"/>
      <c r="CD4" s="233"/>
      <c r="CE4" s="233"/>
      <c r="CF4" s="233"/>
      <c r="CG4" s="233"/>
      <c r="CH4" s="233"/>
      <c r="CI4" s="233"/>
      <c r="CJ4" s="233"/>
      <c r="CK4" s="233"/>
      <c r="CL4" s="233"/>
      <c r="CM4" s="233"/>
      <c r="CN4" s="233"/>
      <c r="CO4" s="233"/>
      <c r="CP4" s="233"/>
      <c r="CQ4" s="233"/>
      <c r="CR4" s="233"/>
      <c r="CS4" s="233"/>
      <c r="CT4" s="233"/>
      <c r="CU4" s="233"/>
      <c r="CV4" s="233"/>
      <c r="CW4" s="233"/>
      <c r="CX4" s="233"/>
      <c r="CY4" s="233"/>
      <c r="CZ4" s="233"/>
      <c r="DA4" s="233"/>
      <c r="DB4" s="233"/>
      <c r="DC4" s="233"/>
      <c r="DD4" s="233"/>
      <c r="DE4" s="233"/>
      <c r="DF4" s="233"/>
      <c r="DG4" s="233"/>
      <c r="DH4" s="233"/>
      <c r="DI4" s="233"/>
      <c r="DJ4" s="233"/>
      <c r="DK4" s="233"/>
      <c r="DL4" s="233"/>
      <c r="DM4" s="233"/>
      <c r="DN4" s="233"/>
      <c r="DO4" s="233"/>
      <c r="DP4" s="233"/>
      <c r="DQ4" s="233"/>
      <c r="DR4" s="233"/>
      <c r="DS4" s="233"/>
      <c r="DT4" s="233"/>
      <c r="DU4" s="233"/>
      <c r="DV4" s="233"/>
      <c r="DW4" s="233"/>
      <c r="DX4" s="233"/>
      <c r="DY4" s="233"/>
      <c r="DZ4" s="233"/>
      <c r="EA4" s="233"/>
      <c r="EB4" s="233"/>
      <c r="EC4" s="233"/>
      <c r="ED4" s="233"/>
      <c r="EE4" s="233"/>
      <c r="EF4" s="233"/>
      <c r="EG4" s="233"/>
      <c r="EH4" s="233"/>
      <c r="EI4" s="233"/>
      <c r="EJ4" s="233"/>
      <c r="EK4" s="233"/>
      <c r="EL4" s="233"/>
      <c r="EM4" s="233"/>
      <c r="EN4" s="233"/>
      <c r="EO4" s="233"/>
      <c r="EP4" s="233"/>
      <c r="EQ4" s="233"/>
      <c r="ER4" s="233"/>
      <c r="ES4" s="233"/>
      <c r="ET4" s="233"/>
      <c r="EU4" s="233"/>
      <c r="EV4" s="233"/>
      <c r="EW4" s="233"/>
      <c r="EX4" s="233"/>
      <c r="EY4" s="233"/>
      <c r="EZ4" s="233"/>
      <c r="FA4" s="233"/>
      <c r="FB4" s="233"/>
      <c r="FC4" s="233"/>
      <c r="FD4" s="233"/>
      <c r="FE4" s="233"/>
      <c r="FF4" s="233"/>
      <c r="FG4" s="233"/>
      <c r="FH4" s="233"/>
      <c r="FI4" s="233"/>
      <c r="FJ4" s="233"/>
      <c r="FK4" s="233"/>
      <c r="FL4" s="233"/>
      <c r="FM4" s="233"/>
      <c r="FN4" s="233"/>
      <c r="FO4" s="233"/>
      <c r="FP4" s="233"/>
      <c r="FQ4" s="233"/>
      <c r="FR4" s="233"/>
      <c r="FS4" s="233"/>
      <c r="FT4" s="233"/>
      <c r="FU4" s="233"/>
      <c r="FV4" s="233"/>
      <c r="FW4" s="233"/>
      <c r="FX4" s="233"/>
      <c r="FY4" s="233"/>
      <c r="FZ4" s="233"/>
      <c r="GA4" s="233"/>
      <c r="GB4" s="233"/>
      <c r="GC4" s="233"/>
      <c r="GD4" s="233"/>
      <c r="GE4" s="233"/>
      <c r="GF4" s="233"/>
      <c r="GG4" s="233"/>
      <c r="GH4" s="233"/>
      <c r="GI4" s="233"/>
      <c r="GJ4" s="233"/>
      <c r="GK4" s="233"/>
      <c r="GL4" s="233"/>
      <c r="GM4" s="233"/>
      <c r="GN4" s="233"/>
      <c r="GO4" s="233"/>
      <c r="GP4" s="233"/>
      <c r="GQ4" s="233"/>
      <c r="GR4" s="233"/>
      <c r="GS4" s="233"/>
      <c r="GT4" s="233"/>
      <c r="GU4" s="233"/>
      <c r="GV4" s="233"/>
      <c r="GW4" s="233"/>
      <c r="GX4" s="233"/>
      <c r="GY4" s="233"/>
      <c r="GZ4" s="233"/>
      <c r="HA4" s="233"/>
      <c r="HB4" s="233"/>
      <c r="HC4" s="233"/>
      <c r="HD4" s="233"/>
      <c r="HE4" s="233"/>
      <c r="HF4" s="233"/>
      <c r="HG4" s="233"/>
      <c r="HH4" s="233"/>
      <c r="HI4" s="233"/>
      <c r="HJ4" s="233"/>
      <c r="HK4" s="233"/>
      <c r="HL4" s="233"/>
      <c r="HM4" s="233"/>
      <c r="HN4" s="233"/>
      <c r="HO4" s="233"/>
      <c r="HP4" s="233"/>
      <c r="HQ4" s="233"/>
      <c r="HR4" s="233"/>
      <c r="HS4" s="233"/>
      <c r="HT4" s="233"/>
      <c r="HU4" s="233"/>
      <c r="HV4" s="233"/>
      <c r="HW4" s="233"/>
      <c r="HX4" s="233"/>
      <c r="HY4" s="233"/>
      <c r="HZ4" s="233"/>
      <c r="IA4" s="233"/>
      <c r="IB4" s="233"/>
      <c r="IC4" s="233"/>
      <c r="ID4" s="233"/>
      <c r="IE4" s="233"/>
      <c r="IF4" s="233"/>
      <c r="IG4" s="233"/>
      <c r="IH4" s="233"/>
      <c r="II4" s="233"/>
      <c r="IJ4" s="233"/>
      <c r="IK4" s="233"/>
      <c r="IL4" s="233"/>
      <c r="IM4" s="233"/>
      <c r="IN4" s="233"/>
      <c r="IO4" s="233"/>
      <c r="IP4" s="233"/>
      <c r="IQ4" s="233"/>
      <c r="IR4" s="233"/>
      <c r="IS4" s="233"/>
      <c r="IT4" s="233"/>
      <c r="IU4" s="233"/>
      <c r="IV4" s="233"/>
    </row>
    <row r="5" ht="15.5" spans="1:256">
      <c r="A5" s="154" t="s">
        <v>1192</v>
      </c>
      <c r="B5" s="155" t="s">
        <v>911</v>
      </c>
      <c r="C5" s="155" t="s">
        <v>1006</v>
      </c>
      <c r="D5" s="155"/>
      <c r="E5" s="155"/>
      <c r="F5" s="154" t="s">
        <v>1192</v>
      </c>
      <c r="G5" s="155" t="s">
        <v>911</v>
      </c>
      <c r="H5" s="155" t="s">
        <v>1006</v>
      </c>
      <c r="I5" s="155"/>
      <c r="J5" s="155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  <c r="AZ5" s="233"/>
      <c r="BA5" s="233"/>
      <c r="BB5" s="233"/>
      <c r="BC5" s="233"/>
      <c r="BD5" s="233"/>
      <c r="BE5" s="233"/>
      <c r="BF5" s="233"/>
      <c r="BG5" s="233"/>
      <c r="BH5" s="233"/>
      <c r="BI5" s="233"/>
      <c r="BJ5" s="233"/>
      <c r="BK5" s="233"/>
      <c r="BL5" s="233"/>
      <c r="BM5" s="233"/>
      <c r="BN5" s="233"/>
      <c r="BO5" s="233"/>
      <c r="BP5" s="233"/>
      <c r="BQ5" s="233"/>
      <c r="BR5" s="233"/>
      <c r="BS5" s="233"/>
      <c r="BT5" s="233"/>
      <c r="BU5" s="233"/>
      <c r="BV5" s="233"/>
      <c r="BW5" s="233"/>
      <c r="BX5" s="233"/>
      <c r="BY5" s="233"/>
      <c r="BZ5" s="233"/>
      <c r="CA5" s="233"/>
      <c r="CB5" s="233"/>
      <c r="CC5" s="233"/>
      <c r="CD5" s="233"/>
      <c r="CE5" s="233"/>
      <c r="CF5" s="233"/>
      <c r="CG5" s="233"/>
      <c r="CH5" s="233"/>
      <c r="CI5" s="233"/>
      <c r="CJ5" s="233"/>
      <c r="CK5" s="233"/>
      <c r="CL5" s="233"/>
      <c r="CM5" s="233"/>
      <c r="CN5" s="233"/>
      <c r="CO5" s="233"/>
      <c r="CP5" s="233"/>
      <c r="CQ5" s="233"/>
      <c r="CR5" s="233"/>
      <c r="CS5" s="233"/>
      <c r="CT5" s="233"/>
      <c r="CU5" s="233"/>
      <c r="CV5" s="233"/>
      <c r="CW5" s="233"/>
      <c r="CX5" s="233"/>
      <c r="CY5" s="233"/>
      <c r="CZ5" s="233"/>
      <c r="DA5" s="233"/>
      <c r="DB5" s="233"/>
      <c r="DC5" s="233"/>
      <c r="DD5" s="233"/>
      <c r="DE5" s="233"/>
      <c r="DF5" s="233"/>
      <c r="DG5" s="233"/>
      <c r="DH5" s="233"/>
      <c r="DI5" s="233"/>
      <c r="DJ5" s="233"/>
      <c r="DK5" s="233"/>
      <c r="DL5" s="233"/>
      <c r="DM5" s="233"/>
      <c r="DN5" s="233"/>
      <c r="DO5" s="233"/>
      <c r="DP5" s="233"/>
      <c r="DQ5" s="233"/>
      <c r="DR5" s="233"/>
      <c r="DS5" s="233"/>
      <c r="DT5" s="233"/>
      <c r="DU5" s="233"/>
      <c r="DV5" s="233"/>
      <c r="DW5" s="233"/>
      <c r="DX5" s="233"/>
      <c r="DY5" s="233"/>
      <c r="DZ5" s="233"/>
      <c r="EA5" s="233"/>
      <c r="EB5" s="233"/>
      <c r="EC5" s="233"/>
      <c r="ED5" s="233"/>
      <c r="EE5" s="233"/>
      <c r="EF5" s="233"/>
      <c r="EG5" s="233"/>
      <c r="EH5" s="233"/>
      <c r="EI5" s="233"/>
      <c r="EJ5" s="233"/>
      <c r="EK5" s="233"/>
      <c r="EL5" s="233"/>
      <c r="EM5" s="233"/>
      <c r="EN5" s="233"/>
      <c r="EO5" s="233"/>
      <c r="EP5" s="233"/>
      <c r="EQ5" s="233"/>
      <c r="ER5" s="233"/>
      <c r="ES5" s="233"/>
      <c r="ET5" s="233"/>
      <c r="EU5" s="233"/>
      <c r="EV5" s="233"/>
      <c r="EW5" s="233"/>
      <c r="EX5" s="233"/>
      <c r="EY5" s="233"/>
      <c r="EZ5" s="233"/>
      <c r="FA5" s="233"/>
      <c r="FB5" s="233"/>
      <c r="FC5" s="233"/>
      <c r="FD5" s="233"/>
      <c r="FE5" s="233"/>
      <c r="FF5" s="233"/>
      <c r="FG5" s="233"/>
      <c r="FH5" s="233"/>
      <c r="FI5" s="233"/>
      <c r="FJ5" s="233"/>
      <c r="FK5" s="233"/>
      <c r="FL5" s="233"/>
      <c r="FM5" s="233"/>
      <c r="FN5" s="233"/>
      <c r="FO5" s="233"/>
      <c r="FP5" s="233"/>
      <c r="FQ5" s="233"/>
      <c r="FR5" s="233"/>
      <c r="FS5" s="233"/>
      <c r="FT5" s="233"/>
      <c r="FU5" s="233"/>
      <c r="FV5" s="233"/>
      <c r="FW5" s="233"/>
      <c r="FX5" s="233"/>
      <c r="FY5" s="233"/>
      <c r="FZ5" s="233"/>
      <c r="GA5" s="233"/>
      <c r="GB5" s="233"/>
      <c r="GC5" s="233"/>
      <c r="GD5" s="233"/>
      <c r="GE5" s="233"/>
      <c r="GF5" s="233"/>
      <c r="GG5" s="233"/>
      <c r="GH5" s="233"/>
      <c r="GI5" s="233"/>
      <c r="GJ5" s="233"/>
      <c r="GK5" s="233"/>
      <c r="GL5" s="233"/>
      <c r="GM5" s="233"/>
      <c r="GN5" s="233"/>
      <c r="GO5" s="233"/>
      <c r="GP5" s="233"/>
      <c r="GQ5" s="233"/>
      <c r="GR5" s="233"/>
      <c r="GS5" s="233"/>
      <c r="GT5" s="233"/>
      <c r="GU5" s="233"/>
      <c r="GV5" s="233"/>
      <c r="GW5" s="233"/>
      <c r="GX5" s="233"/>
      <c r="GY5" s="233"/>
      <c r="GZ5" s="233"/>
      <c r="HA5" s="233"/>
      <c r="HB5" s="233"/>
      <c r="HC5" s="233"/>
      <c r="HD5" s="233"/>
      <c r="HE5" s="233"/>
      <c r="HF5" s="233"/>
      <c r="HG5" s="233"/>
      <c r="HH5" s="233"/>
      <c r="HI5" s="233"/>
      <c r="HJ5" s="233"/>
      <c r="HK5" s="233"/>
      <c r="HL5" s="233"/>
      <c r="HM5" s="233"/>
      <c r="HN5" s="233"/>
      <c r="HO5" s="233"/>
      <c r="HP5" s="233"/>
      <c r="HQ5" s="233"/>
      <c r="HR5" s="233"/>
      <c r="HS5" s="233"/>
      <c r="HT5" s="233"/>
      <c r="HU5" s="233"/>
      <c r="HV5" s="233"/>
      <c r="HW5" s="233"/>
      <c r="HX5" s="233"/>
      <c r="HY5" s="233"/>
      <c r="HZ5" s="233"/>
      <c r="IA5" s="233"/>
      <c r="IB5" s="233"/>
      <c r="IC5" s="233"/>
      <c r="ID5" s="233"/>
      <c r="IE5" s="233"/>
      <c r="IF5" s="233"/>
      <c r="IG5" s="233"/>
      <c r="IH5" s="233"/>
      <c r="II5" s="233"/>
      <c r="IJ5" s="233"/>
      <c r="IK5" s="233"/>
      <c r="IL5" s="233"/>
      <c r="IM5" s="233"/>
      <c r="IN5" s="233"/>
      <c r="IO5" s="233"/>
      <c r="IP5" s="233"/>
      <c r="IQ5" s="233"/>
      <c r="IR5" s="233"/>
      <c r="IS5" s="233"/>
      <c r="IT5" s="233"/>
      <c r="IU5" s="233"/>
      <c r="IV5" s="233"/>
    </row>
    <row r="6" ht="45" spans="1:256">
      <c r="A6" s="154"/>
      <c r="B6" s="155"/>
      <c r="C6" s="155" t="s">
        <v>87</v>
      </c>
      <c r="D6" s="181" t="s">
        <v>1193</v>
      </c>
      <c r="E6" s="181" t="s">
        <v>1194</v>
      </c>
      <c r="F6" s="154"/>
      <c r="G6" s="155"/>
      <c r="H6" s="155" t="s">
        <v>87</v>
      </c>
      <c r="I6" s="181" t="s">
        <v>1195</v>
      </c>
      <c r="J6" s="181" t="s">
        <v>1194</v>
      </c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233"/>
      <c r="AV6" s="233"/>
      <c r="AW6" s="233"/>
      <c r="AX6" s="233"/>
      <c r="AY6" s="233"/>
      <c r="AZ6" s="233"/>
      <c r="BA6" s="233"/>
      <c r="BB6" s="233"/>
      <c r="BC6" s="233"/>
      <c r="BD6" s="233"/>
      <c r="BE6" s="233"/>
      <c r="BF6" s="233"/>
      <c r="BG6" s="233"/>
      <c r="BH6" s="233"/>
      <c r="BI6" s="233"/>
      <c r="BJ6" s="233"/>
      <c r="BK6" s="233"/>
      <c r="BL6" s="233"/>
      <c r="BM6" s="233"/>
      <c r="BN6" s="233"/>
      <c r="BO6" s="233"/>
      <c r="BP6" s="233"/>
      <c r="BQ6" s="233"/>
      <c r="BR6" s="233"/>
      <c r="BS6" s="233"/>
      <c r="BT6" s="233"/>
      <c r="BU6" s="233"/>
      <c r="BV6" s="233"/>
      <c r="BW6" s="233"/>
      <c r="BX6" s="233"/>
      <c r="BY6" s="233"/>
      <c r="BZ6" s="233"/>
      <c r="CA6" s="233"/>
      <c r="CB6" s="233"/>
      <c r="CC6" s="233"/>
      <c r="CD6" s="233"/>
      <c r="CE6" s="233"/>
      <c r="CF6" s="233"/>
      <c r="CG6" s="233"/>
      <c r="CH6" s="233"/>
      <c r="CI6" s="233"/>
      <c r="CJ6" s="233"/>
      <c r="CK6" s="233"/>
      <c r="CL6" s="233"/>
      <c r="CM6" s="233"/>
      <c r="CN6" s="233"/>
      <c r="CO6" s="233"/>
      <c r="CP6" s="233"/>
      <c r="CQ6" s="233"/>
      <c r="CR6" s="233"/>
      <c r="CS6" s="233"/>
      <c r="CT6" s="233"/>
      <c r="CU6" s="233"/>
      <c r="CV6" s="233"/>
      <c r="CW6" s="233"/>
      <c r="CX6" s="233"/>
      <c r="CY6" s="233"/>
      <c r="CZ6" s="233"/>
      <c r="DA6" s="233"/>
      <c r="DB6" s="233"/>
      <c r="DC6" s="233"/>
      <c r="DD6" s="233"/>
      <c r="DE6" s="233"/>
      <c r="DF6" s="233"/>
      <c r="DG6" s="233"/>
      <c r="DH6" s="233"/>
      <c r="DI6" s="233"/>
      <c r="DJ6" s="233"/>
      <c r="DK6" s="233"/>
      <c r="DL6" s="233"/>
      <c r="DM6" s="233"/>
      <c r="DN6" s="233"/>
      <c r="DO6" s="233"/>
      <c r="DP6" s="233"/>
      <c r="DQ6" s="233"/>
      <c r="DR6" s="233"/>
      <c r="DS6" s="233"/>
      <c r="DT6" s="233"/>
      <c r="DU6" s="233"/>
      <c r="DV6" s="233"/>
      <c r="DW6" s="233"/>
      <c r="DX6" s="233"/>
      <c r="DY6" s="233"/>
      <c r="DZ6" s="233"/>
      <c r="EA6" s="233"/>
      <c r="EB6" s="233"/>
      <c r="EC6" s="233"/>
      <c r="ED6" s="233"/>
      <c r="EE6" s="233"/>
      <c r="EF6" s="233"/>
      <c r="EG6" s="233"/>
      <c r="EH6" s="233"/>
      <c r="EI6" s="233"/>
      <c r="EJ6" s="233"/>
      <c r="EK6" s="233"/>
      <c r="EL6" s="233"/>
      <c r="EM6" s="233"/>
      <c r="EN6" s="233"/>
      <c r="EO6" s="233"/>
      <c r="EP6" s="233"/>
      <c r="EQ6" s="233"/>
      <c r="ER6" s="233"/>
      <c r="ES6" s="233"/>
      <c r="ET6" s="233"/>
      <c r="EU6" s="233"/>
      <c r="EV6" s="233"/>
      <c r="EW6" s="233"/>
      <c r="EX6" s="233"/>
      <c r="EY6" s="233"/>
      <c r="EZ6" s="233"/>
      <c r="FA6" s="233"/>
      <c r="FB6" s="233"/>
      <c r="FC6" s="233"/>
      <c r="FD6" s="233"/>
      <c r="FE6" s="233"/>
      <c r="FF6" s="233"/>
      <c r="FG6" s="233"/>
      <c r="FH6" s="233"/>
      <c r="FI6" s="233"/>
      <c r="FJ6" s="233"/>
      <c r="FK6" s="233"/>
      <c r="FL6" s="233"/>
      <c r="FM6" s="233"/>
      <c r="FN6" s="233"/>
      <c r="FO6" s="233"/>
      <c r="FP6" s="233"/>
      <c r="FQ6" s="233"/>
      <c r="FR6" s="233"/>
      <c r="FS6" s="233"/>
      <c r="FT6" s="233"/>
      <c r="FU6" s="233"/>
      <c r="FV6" s="233"/>
      <c r="FW6" s="233"/>
      <c r="FX6" s="233"/>
      <c r="FY6" s="233"/>
      <c r="FZ6" s="233"/>
      <c r="GA6" s="233"/>
      <c r="GB6" s="233"/>
      <c r="GC6" s="233"/>
      <c r="GD6" s="233"/>
      <c r="GE6" s="233"/>
      <c r="GF6" s="233"/>
      <c r="GG6" s="233"/>
      <c r="GH6" s="233"/>
      <c r="GI6" s="233"/>
      <c r="GJ6" s="233"/>
      <c r="GK6" s="233"/>
      <c r="GL6" s="233"/>
      <c r="GM6" s="233"/>
      <c r="GN6" s="233"/>
      <c r="GO6" s="233"/>
      <c r="GP6" s="233"/>
      <c r="GQ6" s="233"/>
      <c r="GR6" s="233"/>
      <c r="GS6" s="233"/>
      <c r="GT6" s="233"/>
      <c r="GU6" s="233"/>
      <c r="GV6" s="233"/>
      <c r="GW6" s="233"/>
      <c r="GX6" s="233"/>
      <c r="GY6" s="233"/>
      <c r="GZ6" s="233"/>
      <c r="HA6" s="233"/>
      <c r="HB6" s="233"/>
      <c r="HC6" s="233"/>
      <c r="HD6" s="233"/>
      <c r="HE6" s="233"/>
      <c r="HF6" s="233"/>
      <c r="HG6" s="233"/>
      <c r="HH6" s="233"/>
      <c r="HI6" s="233"/>
      <c r="HJ6" s="233"/>
      <c r="HK6" s="233"/>
      <c r="HL6" s="233"/>
      <c r="HM6" s="233"/>
      <c r="HN6" s="233"/>
      <c r="HO6" s="233"/>
      <c r="HP6" s="233"/>
      <c r="HQ6" s="233"/>
      <c r="HR6" s="233"/>
      <c r="HS6" s="233"/>
      <c r="HT6" s="233"/>
      <c r="HU6" s="233"/>
      <c r="HV6" s="233"/>
      <c r="HW6" s="233"/>
      <c r="HX6" s="233"/>
      <c r="HY6" s="233"/>
      <c r="HZ6" s="233"/>
      <c r="IA6" s="233"/>
      <c r="IB6" s="233"/>
      <c r="IC6" s="233"/>
      <c r="ID6" s="233"/>
      <c r="IE6" s="233"/>
      <c r="IF6" s="233"/>
      <c r="IG6" s="233"/>
      <c r="IH6" s="233"/>
      <c r="II6" s="233"/>
      <c r="IJ6" s="233"/>
      <c r="IK6" s="233"/>
      <c r="IL6" s="233"/>
      <c r="IM6" s="233"/>
      <c r="IN6" s="233"/>
      <c r="IO6" s="233"/>
      <c r="IP6" s="233"/>
      <c r="IQ6" s="233"/>
      <c r="IR6" s="233"/>
      <c r="IS6" s="233"/>
      <c r="IT6" s="233"/>
      <c r="IU6" s="233"/>
      <c r="IV6" s="233"/>
    </row>
    <row r="7" ht="27.95" customHeight="1" spans="1:256">
      <c r="A7" s="210" t="s">
        <v>1196</v>
      </c>
      <c r="B7" s="211">
        <v>7000</v>
      </c>
      <c r="C7" s="211">
        <v>10000</v>
      </c>
      <c r="D7" s="212">
        <f>C7/B7*100</f>
        <v>142.857142857143</v>
      </c>
      <c r="E7" s="212">
        <f>(C7/B7-1)*100</f>
        <v>42.8571428571429</v>
      </c>
      <c r="F7" s="210" t="s">
        <v>1197</v>
      </c>
      <c r="G7" s="211"/>
      <c r="H7" s="211"/>
      <c r="I7" s="212"/>
      <c r="J7" s="212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234"/>
      <c r="CK7" s="234"/>
      <c r="CL7" s="234"/>
      <c r="CM7" s="234"/>
      <c r="CN7" s="234"/>
      <c r="CO7" s="234"/>
      <c r="CP7" s="234"/>
      <c r="CQ7" s="234"/>
      <c r="CR7" s="234"/>
      <c r="CS7" s="234"/>
      <c r="CT7" s="234"/>
      <c r="CU7" s="234"/>
      <c r="CV7" s="234"/>
      <c r="CW7" s="234"/>
      <c r="CX7" s="234"/>
      <c r="CY7" s="234"/>
      <c r="CZ7" s="234"/>
      <c r="DA7" s="234"/>
      <c r="DB7" s="234"/>
      <c r="DC7" s="234"/>
      <c r="DD7" s="234"/>
      <c r="DE7" s="234"/>
      <c r="DF7" s="234"/>
      <c r="DG7" s="234"/>
      <c r="DH7" s="234"/>
      <c r="DI7" s="234"/>
      <c r="DJ7" s="234"/>
      <c r="DK7" s="234"/>
      <c r="DL7" s="234"/>
      <c r="DM7" s="234"/>
      <c r="DN7" s="234"/>
      <c r="DO7" s="234"/>
      <c r="DP7" s="234"/>
      <c r="DQ7" s="234"/>
      <c r="DR7" s="234"/>
      <c r="DS7" s="234"/>
      <c r="DT7" s="234"/>
      <c r="DU7" s="234"/>
      <c r="DV7" s="234"/>
      <c r="DW7" s="234"/>
      <c r="DX7" s="234"/>
      <c r="DY7" s="234"/>
      <c r="DZ7" s="234"/>
      <c r="EA7" s="234"/>
      <c r="EB7" s="234"/>
      <c r="EC7" s="234"/>
      <c r="ED7" s="234"/>
      <c r="EE7" s="234"/>
      <c r="EF7" s="234"/>
      <c r="EG7" s="234"/>
      <c r="EH7" s="234"/>
      <c r="EI7" s="234"/>
      <c r="EJ7" s="234"/>
      <c r="EK7" s="234"/>
      <c r="EL7" s="234"/>
      <c r="EM7" s="234"/>
      <c r="EN7" s="234"/>
      <c r="EO7" s="234"/>
      <c r="EP7" s="234"/>
      <c r="EQ7" s="234"/>
      <c r="ER7" s="234"/>
      <c r="ES7" s="234"/>
      <c r="ET7" s="234"/>
      <c r="EU7" s="234"/>
      <c r="EV7" s="234"/>
      <c r="EW7" s="234"/>
      <c r="EX7" s="234"/>
      <c r="EY7" s="234"/>
      <c r="EZ7" s="234"/>
      <c r="FA7" s="234"/>
      <c r="FB7" s="234"/>
      <c r="FC7" s="234"/>
      <c r="FD7" s="234"/>
      <c r="FE7" s="234"/>
      <c r="FF7" s="234"/>
      <c r="FG7" s="234"/>
      <c r="FH7" s="234"/>
      <c r="FI7" s="234"/>
      <c r="FJ7" s="234"/>
      <c r="FK7" s="234"/>
      <c r="FL7" s="234"/>
      <c r="FM7" s="234"/>
      <c r="FN7" s="234"/>
      <c r="FO7" s="234"/>
      <c r="FP7" s="234"/>
      <c r="FQ7" s="234"/>
      <c r="FR7" s="234"/>
      <c r="FS7" s="234"/>
      <c r="FT7" s="234"/>
      <c r="FU7" s="234"/>
      <c r="FV7" s="234"/>
      <c r="FW7" s="234"/>
      <c r="FX7" s="234"/>
      <c r="FY7" s="234"/>
      <c r="FZ7" s="234"/>
      <c r="GA7" s="234"/>
      <c r="GB7" s="234"/>
      <c r="GC7" s="234"/>
      <c r="GD7" s="234"/>
      <c r="GE7" s="234"/>
      <c r="GF7" s="234"/>
      <c r="GG7" s="234"/>
      <c r="GH7" s="234"/>
      <c r="GI7" s="234"/>
      <c r="GJ7" s="234"/>
      <c r="GK7" s="234"/>
      <c r="GL7" s="234"/>
      <c r="GM7" s="234"/>
      <c r="GN7" s="234"/>
      <c r="GO7" s="234"/>
      <c r="GP7" s="234"/>
      <c r="GQ7" s="234"/>
      <c r="GR7" s="234"/>
      <c r="GS7" s="234"/>
      <c r="GT7" s="234"/>
      <c r="GU7" s="234"/>
      <c r="GV7" s="234"/>
      <c r="GW7" s="234"/>
      <c r="GX7" s="234"/>
      <c r="GY7" s="234"/>
      <c r="GZ7" s="234"/>
      <c r="HA7" s="234"/>
      <c r="HB7" s="234"/>
      <c r="HC7" s="234"/>
      <c r="HD7" s="234"/>
      <c r="HE7" s="234"/>
      <c r="HF7" s="234"/>
      <c r="HG7" s="234"/>
      <c r="HH7" s="234"/>
      <c r="HI7" s="234"/>
      <c r="HJ7" s="234"/>
      <c r="HK7" s="234"/>
      <c r="HL7" s="234"/>
      <c r="HM7" s="234"/>
      <c r="HN7" s="234"/>
      <c r="HO7" s="234"/>
      <c r="HP7" s="234"/>
      <c r="HQ7" s="234"/>
      <c r="HR7" s="234"/>
      <c r="HS7" s="234"/>
      <c r="HT7" s="234"/>
      <c r="HU7" s="234"/>
      <c r="HV7" s="234"/>
      <c r="HW7" s="234"/>
      <c r="HX7" s="234"/>
      <c r="HY7" s="234"/>
      <c r="HZ7" s="234"/>
      <c r="IA7" s="234"/>
      <c r="IB7" s="234"/>
      <c r="IC7" s="234"/>
      <c r="ID7" s="234"/>
      <c r="IE7" s="234"/>
      <c r="IF7" s="234"/>
      <c r="IG7" s="234"/>
      <c r="IH7" s="234"/>
      <c r="II7" s="234"/>
      <c r="IJ7" s="234"/>
      <c r="IK7" s="234"/>
      <c r="IL7" s="234"/>
      <c r="IM7" s="234"/>
      <c r="IN7" s="234"/>
      <c r="IO7" s="234"/>
      <c r="IP7" s="234"/>
      <c r="IQ7" s="234"/>
      <c r="IR7" s="234"/>
      <c r="IS7" s="234"/>
      <c r="IT7" s="234"/>
      <c r="IU7" s="234"/>
      <c r="IV7" s="234"/>
    </row>
    <row r="8" ht="27.95" customHeight="1" spans="1:256">
      <c r="A8" s="210" t="s">
        <v>1198</v>
      </c>
      <c r="B8" s="211">
        <v>50</v>
      </c>
      <c r="C8" s="211"/>
      <c r="D8" s="212"/>
      <c r="E8" s="212"/>
      <c r="F8" s="213" t="s">
        <v>1199</v>
      </c>
      <c r="G8" s="214"/>
      <c r="H8" s="214"/>
      <c r="I8" s="183"/>
      <c r="J8" s="183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34"/>
      <c r="CC8" s="234"/>
      <c r="CD8" s="234"/>
      <c r="CE8" s="234"/>
      <c r="CF8" s="234"/>
      <c r="CG8" s="234"/>
      <c r="CH8" s="234"/>
      <c r="CI8" s="234"/>
      <c r="CJ8" s="234"/>
      <c r="CK8" s="234"/>
      <c r="CL8" s="234"/>
      <c r="CM8" s="234"/>
      <c r="CN8" s="234"/>
      <c r="CO8" s="234"/>
      <c r="CP8" s="234"/>
      <c r="CQ8" s="234"/>
      <c r="CR8" s="234"/>
      <c r="CS8" s="234"/>
      <c r="CT8" s="234"/>
      <c r="CU8" s="234"/>
      <c r="CV8" s="234"/>
      <c r="CW8" s="234"/>
      <c r="CX8" s="234"/>
      <c r="CY8" s="234"/>
      <c r="CZ8" s="234"/>
      <c r="DA8" s="234"/>
      <c r="DB8" s="234"/>
      <c r="DC8" s="234"/>
      <c r="DD8" s="234"/>
      <c r="DE8" s="234"/>
      <c r="DF8" s="234"/>
      <c r="DG8" s="234"/>
      <c r="DH8" s="234"/>
      <c r="DI8" s="234"/>
      <c r="DJ8" s="234"/>
      <c r="DK8" s="234"/>
      <c r="DL8" s="234"/>
      <c r="DM8" s="234"/>
      <c r="DN8" s="234"/>
      <c r="DO8" s="234"/>
      <c r="DP8" s="234"/>
      <c r="DQ8" s="234"/>
      <c r="DR8" s="234"/>
      <c r="DS8" s="234"/>
      <c r="DT8" s="234"/>
      <c r="DU8" s="234"/>
      <c r="DV8" s="234"/>
      <c r="DW8" s="234"/>
      <c r="DX8" s="234"/>
      <c r="DY8" s="234"/>
      <c r="DZ8" s="234"/>
      <c r="EA8" s="234"/>
      <c r="EB8" s="234"/>
      <c r="EC8" s="234"/>
      <c r="ED8" s="234"/>
      <c r="EE8" s="234"/>
      <c r="EF8" s="234"/>
      <c r="EG8" s="234"/>
      <c r="EH8" s="234"/>
      <c r="EI8" s="234"/>
      <c r="EJ8" s="234"/>
      <c r="EK8" s="234"/>
      <c r="EL8" s="234"/>
      <c r="EM8" s="234"/>
      <c r="EN8" s="234"/>
      <c r="EO8" s="234"/>
      <c r="EP8" s="234"/>
      <c r="EQ8" s="234"/>
      <c r="ER8" s="234"/>
      <c r="ES8" s="234"/>
      <c r="ET8" s="234"/>
      <c r="EU8" s="234"/>
      <c r="EV8" s="234"/>
      <c r="EW8" s="234"/>
      <c r="EX8" s="234"/>
      <c r="EY8" s="234"/>
      <c r="EZ8" s="234"/>
      <c r="FA8" s="234"/>
      <c r="FB8" s="234"/>
      <c r="FC8" s="234"/>
      <c r="FD8" s="234"/>
      <c r="FE8" s="234"/>
      <c r="FF8" s="234"/>
      <c r="FG8" s="234"/>
      <c r="FH8" s="234"/>
      <c r="FI8" s="234"/>
      <c r="FJ8" s="234"/>
      <c r="FK8" s="234"/>
      <c r="FL8" s="234"/>
      <c r="FM8" s="234"/>
      <c r="FN8" s="234"/>
      <c r="FO8" s="234"/>
      <c r="FP8" s="234"/>
      <c r="FQ8" s="234"/>
      <c r="FR8" s="234"/>
      <c r="FS8" s="234"/>
      <c r="FT8" s="234"/>
      <c r="FU8" s="234"/>
      <c r="FV8" s="234"/>
      <c r="FW8" s="234"/>
      <c r="FX8" s="234"/>
      <c r="FY8" s="234"/>
      <c r="FZ8" s="234"/>
      <c r="GA8" s="234"/>
      <c r="GB8" s="234"/>
      <c r="GC8" s="234"/>
      <c r="GD8" s="234"/>
      <c r="GE8" s="234"/>
      <c r="GF8" s="234"/>
      <c r="GG8" s="234"/>
      <c r="GH8" s="234"/>
      <c r="GI8" s="234"/>
      <c r="GJ8" s="234"/>
      <c r="GK8" s="234"/>
      <c r="GL8" s="234"/>
      <c r="GM8" s="234"/>
      <c r="GN8" s="234"/>
      <c r="GO8" s="234"/>
      <c r="GP8" s="234"/>
      <c r="GQ8" s="234"/>
      <c r="GR8" s="234"/>
      <c r="GS8" s="234"/>
      <c r="GT8" s="234"/>
      <c r="GU8" s="234"/>
      <c r="GV8" s="234"/>
      <c r="GW8" s="234"/>
      <c r="GX8" s="234"/>
      <c r="GY8" s="234"/>
      <c r="GZ8" s="234"/>
      <c r="HA8" s="234"/>
      <c r="HB8" s="234"/>
      <c r="HC8" s="234"/>
      <c r="HD8" s="234"/>
      <c r="HE8" s="234"/>
      <c r="HF8" s="234"/>
      <c r="HG8" s="234"/>
      <c r="HH8" s="234"/>
      <c r="HI8" s="234"/>
      <c r="HJ8" s="234"/>
      <c r="HK8" s="234"/>
      <c r="HL8" s="234"/>
      <c r="HM8" s="234"/>
      <c r="HN8" s="234"/>
      <c r="HO8" s="234"/>
      <c r="HP8" s="234"/>
      <c r="HQ8" s="234"/>
      <c r="HR8" s="234"/>
      <c r="HS8" s="234"/>
      <c r="HT8" s="234"/>
      <c r="HU8" s="234"/>
      <c r="HV8" s="234"/>
      <c r="HW8" s="234"/>
      <c r="HX8" s="234"/>
      <c r="HY8" s="234"/>
      <c r="HZ8" s="234"/>
      <c r="IA8" s="234"/>
      <c r="IB8" s="234"/>
      <c r="IC8" s="234"/>
      <c r="ID8" s="234"/>
      <c r="IE8" s="234"/>
      <c r="IF8" s="234"/>
      <c r="IG8" s="234"/>
      <c r="IH8" s="234"/>
      <c r="II8" s="234"/>
      <c r="IJ8" s="234"/>
      <c r="IK8" s="234"/>
      <c r="IL8" s="234"/>
      <c r="IM8" s="234"/>
      <c r="IN8" s="234"/>
      <c r="IO8" s="234"/>
      <c r="IP8" s="234"/>
      <c r="IQ8" s="234"/>
      <c r="IR8" s="234"/>
      <c r="IS8" s="234"/>
      <c r="IT8" s="234"/>
      <c r="IU8" s="234"/>
      <c r="IV8" s="234"/>
    </row>
    <row r="9" ht="27.95" customHeight="1" spans="1:256">
      <c r="A9" s="210" t="s">
        <v>1200</v>
      </c>
      <c r="B9" s="211"/>
      <c r="C9" s="211"/>
      <c r="D9" s="212"/>
      <c r="E9" s="212"/>
      <c r="F9" s="210" t="s">
        <v>1201</v>
      </c>
      <c r="G9" s="211">
        <f t="shared" ref="G9:G12" si="0">G10</f>
        <v>5000</v>
      </c>
      <c r="H9" s="211">
        <f t="shared" ref="H9:H12" si="1">H10</f>
        <v>7000</v>
      </c>
      <c r="I9" s="212">
        <f t="shared" ref="I9:I14" si="2">H9/G9*100</f>
        <v>140</v>
      </c>
      <c r="J9" s="212">
        <f t="shared" ref="J9:J14" si="3">(H9/G9-1)*100</f>
        <v>40</v>
      </c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  <c r="DQ9" s="234"/>
      <c r="DR9" s="234"/>
      <c r="DS9" s="234"/>
      <c r="DT9" s="234"/>
      <c r="DU9" s="234"/>
      <c r="DV9" s="234"/>
      <c r="DW9" s="234"/>
      <c r="DX9" s="234"/>
      <c r="DY9" s="234"/>
      <c r="DZ9" s="234"/>
      <c r="EA9" s="234"/>
      <c r="EB9" s="234"/>
      <c r="EC9" s="234"/>
      <c r="ED9" s="234"/>
      <c r="EE9" s="234"/>
      <c r="EF9" s="234"/>
      <c r="EG9" s="234"/>
      <c r="EH9" s="234"/>
      <c r="EI9" s="234"/>
      <c r="EJ9" s="234"/>
      <c r="EK9" s="234"/>
      <c r="EL9" s="234"/>
      <c r="EM9" s="234"/>
      <c r="EN9" s="234"/>
      <c r="EO9" s="234"/>
      <c r="EP9" s="234"/>
      <c r="EQ9" s="234"/>
      <c r="ER9" s="234"/>
      <c r="ES9" s="234"/>
      <c r="ET9" s="234"/>
      <c r="EU9" s="234"/>
      <c r="EV9" s="234"/>
      <c r="EW9" s="234"/>
      <c r="EX9" s="234"/>
      <c r="EY9" s="234"/>
      <c r="EZ9" s="234"/>
      <c r="FA9" s="234"/>
      <c r="FB9" s="234"/>
      <c r="FC9" s="234"/>
      <c r="FD9" s="234"/>
      <c r="FE9" s="234"/>
      <c r="FF9" s="234"/>
      <c r="FG9" s="234"/>
      <c r="FH9" s="234"/>
      <c r="FI9" s="234"/>
      <c r="FJ9" s="234"/>
      <c r="FK9" s="234"/>
      <c r="FL9" s="234"/>
      <c r="FM9" s="234"/>
      <c r="FN9" s="234"/>
      <c r="FO9" s="234"/>
      <c r="FP9" s="234"/>
      <c r="FQ9" s="234"/>
      <c r="FR9" s="234"/>
      <c r="FS9" s="234"/>
      <c r="FT9" s="234"/>
      <c r="FU9" s="234"/>
      <c r="FV9" s="234"/>
      <c r="FW9" s="234"/>
      <c r="FX9" s="234"/>
      <c r="FY9" s="234"/>
      <c r="FZ9" s="234"/>
      <c r="GA9" s="234"/>
      <c r="GB9" s="234"/>
      <c r="GC9" s="234"/>
      <c r="GD9" s="234"/>
      <c r="GE9" s="234"/>
      <c r="GF9" s="234"/>
      <c r="GG9" s="234"/>
      <c r="GH9" s="234"/>
      <c r="GI9" s="234"/>
      <c r="GJ9" s="234"/>
      <c r="GK9" s="234"/>
      <c r="GL9" s="234"/>
      <c r="GM9" s="234"/>
      <c r="GN9" s="234"/>
      <c r="GO9" s="234"/>
      <c r="GP9" s="234"/>
      <c r="GQ9" s="234"/>
      <c r="GR9" s="234"/>
      <c r="GS9" s="234"/>
      <c r="GT9" s="234"/>
      <c r="GU9" s="234"/>
      <c r="GV9" s="234"/>
      <c r="GW9" s="234"/>
      <c r="GX9" s="234"/>
      <c r="GY9" s="234"/>
      <c r="GZ9" s="234"/>
      <c r="HA9" s="234"/>
      <c r="HB9" s="234"/>
      <c r="HC9" s="234"/>
      <c r="HD9" s="234"/>
      <c r="HE9" s="234"/>
      <c r="HF9" s="234"/>
      <c r="HG9" s="234"/>
      <c r="HH9" s="234"/>
      <c r="HI9" s="234"/>
      <c r="HJ9" s="234"/>
      <c r="HK9" s="234"/>
      <c r="HL9" s="234"/>
      <c r="HM9" s="234"/>
      <c r="HN9" s="234"/>
      <c r="HO9" s="234"/>
      <c r="HP9" s="234"/>
      <c r="HQ9" s="234"/>
      <c r="HR9" s="234"/>
      <c r="HS9" s="234"/>
      <c r="HT9" s="234"/>
      <c r="HU9" s="234"/>
      <c r="HV9" s="234"/>
      <c r="HW9" s="234"/>
      <c r="HX9" s="234"/>
      <c r="HY9" s="234"/>
      <c r="HZ9" s="234"/>
      <c r="IA9" s="234"/>
      <c r="IB9" s="234"/>
      <c r="IC9" s="234"/>
      <c r="ID9" s="234"/>
      <c r="IE9" s="234"/>
      <c r="IF9" s="234"/>
      <c r="IG9" s="234"/>
      <c r="IH9" s="234"/>
      <c r="II9" s="234"/>
      <c r="IJ9" s="234"/>
      <c r="IK9" s="234"/>
      <c r="IL9" s="234"/>
      <c r="IM9" s="234"/>
      <c r="IN9" s="234"/>
      <c r="IO9" s="234"/>
      <c r="IP9" s="234"/>
      <c r="IQ9" s="234"/>
      <c r="IR9" s="234"/>
      <c r="IS9" s="234"/>
      <c r="IT9" s="234"/>
      <c r="IU9" s="234"/>
      <c r="IV9" s="234"/>
    </row>
    <row r="10" ht="27.95" customHeight="1" spans="1:256">
      <c r="A10" s="210" t="s">
        <v>1202</v>
      </c>
      <c r="B10" s="211"/>
      <c r="C10" s="211"/>
      <c r="D10" s="212"/>
      <c r="E10" s="212"/>
      <c r="F10" s="215" t="s">
        <v>1203</v>
      </c>
      <c r="G10" s="214">
        <v>5000</v>
      </c>
      <c r="H10" s="214">
        <v>7000</v>
      </c>
      <c r="I10" s="183">
        <f t="shared" si="2"/>
        <v>140</v>
      </c>
      <c r="J10" s="183">
        <f t="shared" si="3"/>
        <v>40</v>
      </c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234"/>
      <c r="BK10" s="234"/>
      <c r="BL10" s="234"/>
      <c r="BM10" s="234"/>
      <c r="BN10" s="234"/>
      <c r="BO10" s="234"/>
      <c r="BP10" s="234"/>
      <c r="BQ10" s="234"/>
      <c r="BR10" s="234"/>
      <c r="BS10" s="234"/>
      <c r="BT10" s="234"/>
      <c r="BU10" s="234"/>
      <c r="BV10" s="234"/>
      <c r="BW10" s="234"/>
      <c r="BX10" s="234"/>
      <c r="BY10" s="234"/>
      <c r="BZ10" s="234"/>
      <c r="CA10" s="234"/>
      <c r="CB10" s="234"/>
      <c r="CC10" s="234"/>
      <c r="CD10" s="234"/>
      <c r="CE10" s="234"/>
      <c r="CF10" s="234"/>
      <c r="CG10" s="234"/>
      <c r="CH10" s="234"/>
      <c r="CI10" s="234"/>
      <c r="CJ10" s="234"/>
      <c r="CK10" s="234"/>
      <c r="CL10" s="234"/>
      <c r="CM10" s="234"/>
      <c r="CN10" s="234"/>
      <c r="CO10" s="234"/>
      <c r="CP10" s="234"/>
      <c r="CQ10" s="234"/>
      <c r="CR10" s="234"/>
      <c r="CS10" s="234"/>
      <c r="CT10" s="234"/>
      <c r="CU10" s="234"/>
      <c r="CV10" s="234"/>
      <c r="CW10" s="234"/>
      <c r="CX10" s="234"/>
      <c r="CY10" s="234"/>
      <c r="CZ10" s="234"/>
      <c r="DA10" s="234"/>
      <c r="DB10" s="234"/>
      <c r="DC10" s="234"/>
      <c r="DD10" s="234"/>
      <c r="DE10" s="234"/>
      <c r="DF10" s="234"/>
      <c r="DG10" s="234"/>
      <c r="DH10" s="234"/>
      <c r="DI10" s="234"/>
      <c r="DJ10" s="234"/>
      <c r="DK10" s="234"/>
      <c r="DL10" s="234"/>
      <c r="DM10" s="234"/>
      <c r="DN10" s="234"/>
      <c r="DO10" s="234"/>
      <c r="DP10" s="234"/>
      <c r="DQ10" s="234"/>
      <c r="DR10" s="234"/>
      <c r="DS10" s="234"/>
      <c r="DT10" s="234"/>
      <c r="DU10" s="234"/>
      <c r="DV10" s="234"/>
      <c r="DW10" s="234"/>
      <c r="DX10" s="234"/>
      <c r="DY10" s="234"/>
      <c r="DZ10" s="234"/>
      <c r="EA10" s="234"/>
      <c r="EB10" s="234"/>
      <c r="EC10" s="234"/>
      <c r="ED10" s="234"/>
      <c r="EE10" s="234"/>
      <c r="EF10" s="234"/>
      <c r="EG10" s="234"/>
      <c r="EH10" s="234"/>
      <c r="EI10" s="234"/>
      <c r="EJ10" s="234"/>
      <c r="EK10" s="234"/>
      <c r="EL10" s="234"/>
      <c r="EM10" s="234"/>
      <c r="EN10" s="234"/>
      <c r="EO10" s="234"/>
      <c r="EP10" s="234"/>
      <c r="EQ10" s="234"/>
      <c r="ER10" s="234"/>
      <c r="ES10" s="234"/>
      <c r="ET10" s="234"/>
      <c r="EU10" s="234"/>
      <c r="EV10" s="234"/>
      <c r="EW10" s="234"/>
      <c r="EX10" s="234"/>
      <c r="EY10" s="234"/>
      <c r="EZ10" s="234"/>
      <c r="FA10" s="234"/>
      <c r="FB10" s="234"/>
      <c r="FC10" s="234"/>
      <c r="FD10" s="234"/>
      <c r="FE10" s="234"/>
      <c r="FF10" s="234"/>
      <c r="FG10" s="234"/>
      <c r="FH10" s="234"/>
      <c r="FI10" s="234"/>
      <c r="FJ10" s="234"/>
      <c r="FK10" s="234"/>
      <c r="FL10" s="234"/>
      <c r="FM10" s="234"/>
      <c r="FN10" s="234"/>
      <c r="FO10" s="234"/>
      <c r="FP10" s="234"/>
      <c r="FQ10" s="234"/>
      <c r="FR10" s="234"/>
      <c r="FS10" s="234"/>
      <c r="FT10" s="234"/>
      <c r="FU10" s="234"/>
      <c r="FV10" s="234"/>
      <c r="FW10" s="234"/>
      <c r="FX10" s="234"/>
      <c r="FY10" s="234"/>
      <c r="FZ10" s="234"/>
      <c r="GA10" s="234"/>
      <c r="GB10" s="234"/>
      <c r="GC10" s="234"/>
      <c r="GD10" s="234"/>
      <c r="GE10" s="234"/>
      <c r="GF10" s="234"/>
      <c r="GG10" s="234"/>
      <c r="GH10" s="234"/>
      <c r="GI10" s="234"/>
      <c r="GJ10" s="234"/>
      <c r="GK10" s="234"/>
      <c r="GL10" s="234"/>
      <c r="GM10" s="234"/>
      <c r="GN10" s="234"/>
      <c r="GO10" s="234"/>
      <c r="GP10" s="234"/>
      <c r="GQ10" s="234"/>
      <c r="GR10" s="234"/>
      <c r="GS10" s="234"/>
      <c r="GT10" s="234"/>
      <c r="GU10" s="234"/>
      <c r="GV10" s="234"/>
      <c r="GW10" s="234"/>
      <c r="GX10" s="234"/>
      <c r="GY10" s="234"/>
      <c r="GZ10" s="234"/>
      <c r="HA10" s="234"/>
      <c r="HB10" s="234"/>
      <c r="HC10" s="234"/>
      <c r="HD10" s="234"/>
      <c r="HE10" s="234"/>
      <c r="HF10" s="234"/>
      <c r="HG10" s="234"/>
      <c r="HH10" s="234"/>
      <c r="HI10" s="234"/>
      <c r="HJ10" s="234"/>
      <c r="HK10" s="234"/>
      <c r="HL10" s="234"/>
      <c r="HM10" s="234"/>
      <c r="HN10" s="234"/>
      <c r="HO10" s="234"/>
      <c r="HP10" s="234"/>
      <c r="HQ10" s="234"/>
      <c r="HR10" s="234"/>
      <c r="HS10" s="234"/>
      <c r="HT10" s="234"/>
      <c r="HU10" s="234"/>
      <c r="HV10" s="234"/>
      <c r="HW10" s="234"/>
      <c r="HX10" s="234"/>
      <c r="HY10" s="234"/>
      <c r="HZ10" s="234"/>
      <c r="IA10" s="234"/>
      <c r="IB10" s="234"/>
      <c r="IC10" s="234"/>
      <c r="ID10" s="234"/>
      <c r="IE10" s="234"/>
      <c r="IF10" s="234"/>
      <c r="IG10" s="234"/>
      <c r="IH10" s="234"/>
      <c r="II10" s="234"/>
      <c r="IJ10" s="234"/>
      <c r="IK10" s="234"/>
      <c r="IL10" s="234"/>
      <c r="IM10" s="234"/>
      <c r="IN10" s="234"/>
      <c r="IO10" s="234"/>
      <c r="IP10" s="234"/>
      <c r="IQ10" s="234"/>
      <c r="IR10" s="234"/>
      <c r="IS10" s="234"/>
      <c r="IT10" s="234"/>
      <c r="IU10" s="234"/>
      <c r="IV10" s="234"/>
    </row>
    <row r="11" ht="27.95" customHeight="1" spans="1:256">
      <c r="A11" s="210" t="s">
        <v>1204</v>
      </c>
      <c r="B11" s="211"/>
      <c r="C11" s="211"/>
      <c r="D11" s="212"/>
      <c r="E11" s="212"/>
      <c r="F11" s="210" t="s">
        <v>1205</v>
      </c>
      <c r="G11" s="211">
        <f t="shared" si="0"/>
        <v>2050</v>
      </c>
      <c r="H11" s="211">
        <f t="shared" si="1"/>
        <v>3000</v>
      </c>
      <c r="I11" s="212">
        <f t="shared" si="2"/>
        <v>146.341463414634</v>
      </c>
      <c r="J11" s="235">
        <f t="shared" si="3"/>
        <v>46.3414634146341</v>
      </c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  <c r="BN11" s="234"/>
      <c r="BO11" s="234"/>
      <c r="BP11" s="234"/>
      <c r="BQ11" s="234"/>
      <c r="BR11" s="234"/>
      <c r="BS11" s="234"/>
      <c r="BT11" s="234"/>
      <c r="BU11" s="234"/>
      <c r="BV11" s="234"/>
      <c r="BW11" s="234"/>
      <c r="BX11" s="234"/>
      <c r="BY11" s="234"/>
      <c r="BZ11" s="234"/>
      <c r="CA11" s="234"/>
      <c r="CB11" s="234"/>
      <c r="CC11" s="234"/>
      <c r="CD11" s="234"/>
      <c r="CE11" s="234"/>
      <c r="CF11" s="234"/>
      <c r="CG11" s="234"/>
      <c r="CH11" s="234"/>
      <c r="CI11" s="234"/>
      <c r="CJ11" s="234"/>
      <c r="CK11" s="234"/>
      <c r="CL11" s="234"/>
      <c r="CM11" s="234"/>
      <c r="CN11" s="234"/>
      <c r="CO11" s="234"/>
      <c r="CP11" s="234"/>
      <c r="CQ11" s="234"/>
      <c r="CR11" s="234"/>
      <c r="CS11" s="234"/>
      <c r="CT11" s="234"/>
      <c r="CU11" s="234"/>
      <c r="CV11" s="234"/>
      <c r="CW11" s="234"/>
      <c r="CX11" s="234"/>
      <c r="CY11" s="234"/>
      <c r="CZ11" s="234"/>
      <c r="DA11" s="234"/>
      <c r="DB11" s="234"/>
      <c r="DC11" s="234"/>
      <c r="DD11" s="234"/>
      <c r="DE11" s="234"/>
      <c r="DF11" s="234"/>
      <c r="DG11" s="234"/>
      <c r="DH11" s="234"/>
      <c r="DI11" s="234"/>
      <c r="DJ11" s="234"/>
      <c r="DK11" s="234"/>
      <c r="DL11" s="234"/>
      <c r="DM11" s="234"/>
      <c r="DN11" s="234"/>
      <c r="DO11" s="234"/>
      <c r="DP11" s="234"/>
      <c r="DQ11" s="234"/>
      <c r="DR11" s="234"/>
      <c r="DS11" s="234"/>
      <c r="DT11" s="234"/>
      <c r="DU11" s="234"/>
      <c r="DV11" s="234"/>
      <c r="DW11" s="234"/>
      <c r="DX11" s="234"/>
      <c r="DY11" s="234"/>
      <c r="DZ11" s="234"/>
      <c r="EA11" s="234"/>
      <c r="EB11" s="234"/>
      <c r="EC11" s="234"/>
      <c r="ED11" s="234"/>
      <c r="EE11" s="234"/>
      <c r="EF11" s="234"/>
      <c r="EG11" s="234"/>
      <c r="EH11" s="234"/>
      <c r="EI11" s="234"/>
      <c r="EJ11" s="234"/>
      <c r="EK11" s="234"/>
      <c r="EL11" s="234"/>
      <c r="EM11" s="234"/>
      <c r="EN11" s="234"/>
      <c r="EO11" s="234"/>
      <c r="EP11" s="234"/>
      <c r="EQ11" s="234"/>
      <c r="ER11" s="234"/>
      <c r="ES11" s="234"/>
      <c r="ET11" s="234"/>
      <c r="EU11" s="234"/>
      <c r="EV11" s="234"/>
      <c r="EW11" s="234"/>
      <c r="EX11" s="234"/>
      <c r="EY11" s="234"/>
      <c r="EZ11" s="234"/>
      <c r="FA11" s="234"/>
      <c r="FB11" s="234"/>
      <c r="FC11" s="234"/>
      <c r="FD11" s="234"/>
      <c r="FE11" s="234"/>
      <c r="FF11" s="234"/>
      <c r="FG11" s="234"/>
      <c r="FH11" s="234"/>
      <c r="FI11" s="234"/>
      <c r="FJ11" s="234"/>
      <c r="FK11" s="234"/>
      <c r="FL11" s="234"/>
      <c r="FM11" s="234"/>
      <c r="FN11" s="234"/>
      <c r="FO11" s="234"/>
      <c r="FP11" s="234"/>
      <c r="FQ11" s="234"/>
      <c r="FR11" s="234"/>
      <c r="FS11" s="234"/>
      <c r="FT11" s="234"/>
      <c r="FU11" s="234"/>
      <c r="FV11" s="234"/>
      <c r="FW11" s="234"/>
      <c r="FX11" s="234"/>
      <c r="FY11" s="234"/>
      <c r="FZ11" s="234"/>
      <c r="GA11" s="234"/>
      <c r="GB11" s="234"/>
      <c r="GC11" s="234"/>
      <c r="GD11" s="234"/>
      <c r="GE11" s="234"/>
      <c r="GF11" s="234"/>
      <c r="GG11" s="234"/>
      <c r="GH11" s="234"/>
      <c r="GI11" s="234"/>
      <c r="GJ11" s="234"/>
      <c r="GK11" s="234"/>
      <c r="GL11" s="234"/>
      <c r="GM11" s="234"/>
      <c r="GN11" s="234"/>
      <c r="GO11" s="234"/>
      <c r="GP11" s="234"/>
      <c r="GQ11" s="234"/>
      <c r="GR11" s="234"/>
      <c r="GS11" s="234"/>
      <c r="GT11" s="234"/>
      <c r="GU11" s="234"/>
      <c r="GV11" s="234"/>
      <c r="GW11" s="234"/>
      <c r="GX11" s="234"/>
      <c r="GY11" s="234"/>
      <c r="GZ11" s="234"/>
      <c r="HA11" s="234"/>
      <c r="HB11" s="234"/>
      <c r="HC11" s="234"/>
      <c r="HD11" s="234"/>
      <c r="HE11" s="234"/>
      <c r="HF11" s="234"/>
      <c r="HG11" s="234"/>
      <c r="HH11" s="234"/>
      <c r="HI11" s="234"/>
      <c r="HJ11" s="234"/>
      <c r="HK11" s="234"/>
      <c r="HL11" s="234"/>
      <c r="HM11" s="234"/>
      <c r="HN11" s="234"/>
      <c r="HO11" s="234"/>
      <c r="HP11" s="234"/>
      <c r="HQ11" s="234"/>
      <c r="HR11" s="234"/>
      <c r="HS11" s="234"/>
      <c r="HT11" s="234"/>
      <c r="HU11" s="234"/>
      <c r="HV11" s="234"/>
      <c r="HW11" s="234"/>
      <c r="HX11" s="234"/>
      <c r="HY11" s="234"/>
      <c r="HZ11" s="234"/>
      <c r="IA11" s="234"/>
      <c r="IB11" s="234"/>
      <c r="IC11" s="234"/>
      <c r="ID11" s="234"/>
      <c r="IE11" s="234"/>
      <c r="IF11" s="234"/>
      <c r="IG11" s="234"/>
      <c r="IH11" s="234"/>
      <c r="II11" s="234"/>
      <c r="IJ11" s="234"/>
      <c r="IK11" s="234"/>
      <c r="IL11" s="234"/>
      <c r="IM11" s="234"/>
      <c r="IN11" s="234"/>
      <c r="IO11" s="234"/>
      <c r="IP11" s="234"/>
      <c r="IQ11" s="234"/>
      <c r="IR11" s="234"/>
      <c r="IS11" s="234"/>
      <c r="IT11" s="234"/>
      <c r="IU11" s="234"/>
      <c r="IV11" s="234"/>
    </row>
    <row r="12" ht="27.95" customHeight="1" spans="1:256">
      <c r="A12" s="213"/>
      <c r="B12" s="214"/>
      <c r="C12" s="214"/>
      <c r="D12" s="183"/>
      <c r="E12" s="183"/>
      <c r="F12" s="216" t="s">
        <v>1206</v>
      </c>
      <c r="G12" s="217">
        <f t="shared" si="0"/>
        <v>2050</v>
      </c>
      <c r="H12" s="217">
        <f t="shared" si="1"/>
        <v>3000</v>
      </c>
      <c r="I12" s="235">
        <f t="shared" si="2"/>
        <v>146.341463414634</v>
      </c>
      <c r="J12" s="235">
        <f t="shared" si="3"/>
        <v>46.3414634146341</v>
      </c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T12" s="234"/>
      <c r="BU12" s="234"/>
      <c r="BV12" s="234"/>
      <c r="BW12" s="234"/>
      <c r="BX12" s="234"/>
      <c r="BY12" s="234"/>
      <c r="BZ12" s="234"/>
      <c r="CA12" s="234"/>
      <c r="CB12" s="234"/>
      <c r="CC12" s="234"/>
      <c r="CD12" s="234"/>
      <c r="CE12" s="234"/>
      <c r="CF12" s="234"/>
      <c r="CG12" s="234"/>
      <c r="CH12" s="234"/>
      <c r="CI12" s="234"/>
      <c r="CJ12" s="234"/>
      <c r="CK12" s="234"/>
      <c r="CL12" s="234"/>
      <c r="CM12" s="234"/>
      <c r="CN12" s="234"/>
      <c r="CO12" s="234"/>
      <c r="CP12" s="234"/>
      <c r="CQ12" s="234"/>
      <c r="CR12" s="234"/>
      <c r="CS12" s="234"/>
      <c r="CT12" s="234"/>
      <c r="CU12" s="234"/>
      <c r="CV12" s="234"/>
      <c r="CW12" s="234"/>
      <c r="CX12" s="234"/>
      <c r="CY12" s="234"/>
      <c r="CZ12" s="234"/>
      <c r="DA12" s="234"/>
      <c r="DB12" s="234"/>
      <c r="DC12" s="234"/>
      <c r="DD12" s="234"/>
      <c r="DE12" s="234"/>
      <c r="DF12" s="234"/>
      <c r="DG12" s="234"/>
      <c r="DH12" s="234"/>
      <c r="DI12" s="234"/>
      <c r="DJ12" s="234"/>
      <c r="DK12" s="234"/>
      <c r="DL12" s="234"/>
      <c r="DM12" s="234"/>
      <c r="DN12" s="234"/>
      <c r="DO12" s="234"/>
      <c r="DP12" s="234"/>
      <c r="DQ12" s="234"/>
      <c r="DR12" s="234"/>
      <c r="DS12" s="234"/>
      <c r="DT12" s="234"/>
      <c r="DU12" s="234"/>
      <c r="DV12" s="234"/>
      <c r="DW12" s="234"/>
      <c r="DX12" s="234"/>
      <c r="DY12" s="234"/>
      <c r="DZ12" s="234"/>
      <c r="EA12" s="234"/>
      <c r="EB12" s="234"/>
      <c r="EC12" s="234"/>
      <c r="ED12" s="234"/>
      <c r="EE12" s="234"/>
      <c r="EF12" s="234"/>
      <c r="EG12" s="234"/>
      <c r="EH12" s="234"/>
      <c r="EI12" s="234"/>
      <c r="EJ12" s="234"/>
      <c r="EK12" s="234"/>
      <c r="EL12" s="234"/>
      <c r="EM12" s="234"/>
      <c r="EN12" s="234"/>
      <c r="EO12" s="234"/>
      <c r="EP12" s="234"/>
      <c r="EQ12" s="234"/>
      <c r="ER12" s="234"/>
      <c r="ES12" s="234"/>
      <c r="ET12" s="234"/>
      <c r="EU12" s="234"/>
      <c r="EV12" s="234"/>
      <c r="EW12" s="234"/>
      <c r="EX12" s="234"/>
      <c r="EY12" s="234"/>
      <c r="EZ12" s="234"/>
      <c r="FA12" s="234"/>
      <c r="FB12" s="234"/>
      <c r="FC12" s="234"/>
      <c r="FD12" s="234"/>
      <c r="FE12" s="234"/>
      <c r="FF12" s="234"/>
      <c r="FG12" s="234"/>
      <c r="FH12" s="234"/>
      <c r="FI12" s="234"/>
      <c r="FJ12" s="234"/>
      <c r="FK12" s="234"/>
      <c r="FL12" s="234"/>
      <c r="FM12" s="234"/>
      <c r="FN12" s="234"/>
      <c r="FO12" s="234"/>
      <c r="FP12" s="234"/>
      <c r="FQ12" s="234"/>
      <c r="FR12" s="234"/>
      <c r="FS12" s="234"/>
      <c r="FT12" s="234"/>
      <c r="FU12" s="234"/>
      <c r="FV12" s="234"/>
      <c r="FW12" s="234"/>
      <c r="FX12" s="234"/>
      <c r="FY12" s="234"/>
      <c r="FZ12" s="234"/>
      <c r="GA12" s="234"/>
      <c r="GB12" s="234"/>
      <c r="GC12" s="234"/>
      <c r="GD12" s="234"/>
      <c r="GE12" s="234"/>
      <c r="GF12" s="234"/>
      <c r="GG12" s="234"/>
      <c r="GH12" s="234"/>
      <c r="GI12" s="234"/>
      <c r="GJ12" s="234"/>
      <c r="GK12" s="234"/>
      <c r="GL12" s="234"/>
      <c r="GM12" s="234"/>
      <c r="GN12" s="234"/>
      <c r="GO12" s="234"/>
      <c r="GP12" s="234"/>
      <c r="GQ12" s="234"/>
      <c r="GR12" s="234"/>
      <c r="GS12" s="234"/>
      <c r="GT12" s="234"/>
      <c r="GU12" s="234"/>
      <c r="GV12" s="234"/>
      <c r="GW12" s="234"/>
      <c r="GX12" s="234"/>
      <c r="GY12" s="234"/>
      <c r="GZ12" s="234"/>
      <c r="HA12" s="234"/>
      <c r="HB12" s="234"/>
      <c r="HC12" s="234"/>
      <c r="HD12" s="234"/>
      <c r="HE12" s="234"/>
      <c r="HF12" s="234"/>
      <c r="HG12" s="234"/>
      <c r="HH12" s="234"/>
      <c r="HI12" s="234"/>
      <c r="HJ12" s="234"/>
      <c r="HK12" s="234"/>
      <c r="HL12" s="234"/>
      <c r="HM12" s="234"/>
      <c r="HN12" s="234"/>
      <c r="HO12" s="234"/>
      <c r="HP12" s="234"/>
      <c r="HQ12" s="234"/>
      <c r="HR12" s="234"/>
      <c r="HS12" s="234"/>
      <c r="HT12" s="234"/>
      <c r="HU12" s="234"/>
      <c r="HV12" s="234"/>
      <c r="HW12" s="234"/>
      <c r="HX12" s="234"/>
      <c r="HY12" s="234"/>
      <c r="HZ12" s="234"/>
      <c r="IA12" s="234"/>
      <c r="IB12" s="234"/>
      <c r="IC12" s="234"/>
      <c r="ID12" s="234"/>
      <c r="IE12" s="234"/>
      <c r="IF12" s="234"/>
      <c r="IG12" s="234"/>
      <c r="IH12" s="234"/>
      <c r="II12" s="234"/>
      <c r="IJ12" s="234"/>
      <c r="IK12" s="234"/>
      <c r="IL12" s="234"/>
      <c r="IM12" s="234"/>
      <c r="IN12" s="234"/>
      <c r="IO12" s="234"/>
      <c r="IP12" s="234"/>
      <c r="IQ12" s="234"/>
      <c r="IR12" s="234"/>
      <c r="IS12" s="234"/>
      <c r="IT12" s="234"/>
      <c r="IU12" s="234"/>
      <c r="IV12" s="234"/>
    </row>
    <row r="13" ht="27.95" customHeight="1" spans="1:256">
      <c r="A13" s="213"/>
      <c r="B13" s="214"/>
      <c r="C13" s="214"/>
      <c r="D13" s="183"/>
      <c r="E13" s="183"/>
      <c r="F13" s="218" t="s">
        <v>1207</v>
      </c>
      <c r="G13" s="214">
        <v>2050</v>
      </c>
      <c r="H13" s="214">
        <v>3000</v>
      </c>
      <c r="I13" s="183">
        <f t="shared" si="2"/>
        <v>146.341463414634</v>
      </c>
      <c r="J13" s="183">
        <f t="shared" si="3"/>
        <v>46.3414634146341</v>
      </c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  <c r="BS13" s="234"/>
      <c r="BT13" s="234"/>
      <c r="BU13" s="234"/>
      <c r="BV13" s="234"/>
      <c r="BW13" s="234"/>
      <c r="BX13" s="234"/>
      <c r="BY13" s="234"/>
      <c r="BZ13" s="234"/>
      <c r="CA13" s="234"/>
      <c r="CB13" s="234"/>
      <c r="CC13" s="234"/>
      <c r="CD13" s="234"/>
      <c r="CE13" s="234"/>
      <c r="CF13" s="234"/>
      <c r="CG13" s="234"/>
      <c r="CH13" s="234"/>
      <c r="CI13" s="234"/>
      <c r="CJ13" s="234"/>
      <c r="CK13" s="234"/>
      <c r="CL13" s="234"/>
      <c r="CM13" s="234"/>
      <c r="CN13" s="234"/>
      <c r="CO13" s="234"/>
      <c r="CP13" s="234"/>
      <c r="CQ13" s="234"/>
      <c r="CR13" s="234"/>
      <c r="CS13" s="234"/>
      <c r="CT13" s="234"/>
      <c r="CU13" s="234"/>
      <c r="CV13" s="234"/>
      <c r="CW13" s="234"/>
      <c r="CX13" s="234"/>
      <c r="CY13" s="234"/>
      <c r="CZ13" s="234"/>
      <c r="DA13" s="234"/>
      <c r="DB13" s="234"/>
      <c r="DC13" s="234"/>
      <c r="DD13" s="234"/>
      <c r="DE13" s="234"/>
      <c r="DF13" s="234"/>
      <c r="DG13" s="234"/>
      <c r="DH13" s="234"/>
      <c r="DI13" s="234"/>
      <c r="DJ13" s="234"/>
      <c r="DK13" s="234"/>
      <c r="DL13" s="234"/>
      <c r="DM13" s="234"/>
      <c r="DN13" s="234"/>
      <c r="DO13" s="234"/>
      <c r="DP13" s="234"/>
      <c r="DQ13" s="234"/>
      <c r="DR13" s="234"/>
      <c r="DS13" s="234"/>
      <c r="DT13" s="234"/>
      <c r="DU13" s="234"/>
      <c r="DV13" s="234"/>
      <c r="DW13" s="234"/>
      <c r="DX13" s="234"/>
      <c r="DY13" s="234"/>
      <c r="DZ13" s="234"/>
      <c r="EA13" s="234"/>
      <c r="EB13" s="234"/>
      <c r="EC13" s="234"/>
      <c r="ED13" s="234"/>
      <c r="EE13" s="234"/>
      <c r="EF13" s="234"/>
      <c r="EG13" s="234"/>
      <c r="EH13" s="234"/>
      <c r="EI13" s="234"/>
      <c r="EJ13" s="234"/>
      <c r="EK13" s="234"/>
      <c r="EL13" s="234"/>
      <c r="EM13" s="234"/>
      <c r="EN13" s="234"/>
      <c r="EO13" s="234"/>
      <c r="EP13" s="234"/>
      <c r="EQ13" s="234"/>
      <c r="ER13" s="234"/>
      <c r="ES13" s="234"/>
      <c r="ET13" s="234"/>
      <c r="EU13" s="234"/>
      <c r="EV13" s="234"/>
      <c r="EW13" s="234"/>
      <c r="EX13" s="234"/>
      <c r="EY13" s="234"/>
      <c r="EZ13" s="234"/>
      <c r="FA13" s="234"/>
      <c r="FB13" s="234"/>
      <c r="FC13" s="234"/>
      <c r="FD13" s="234"/>
      <c r="FE13" s="234"/>
      <c r="FF13" s="234"/>
      <c r="FG13" s="234"/>
      <c r="FH13" s="234"/>
      <c r="FI13" s="234"/>
      <c r="FJ13" s="234"/>
      <c r="FK13" s="234"/>
      <c r="FL13" s="234"/>
      <c r="FM13" s="234"/>
      <c r="FN13" s="234"/>
      <c r="FO13" s="234"/>
      <c r="FP13" s="234"/>
      <c r="FQ13" s="234"/>
      <c r="FR13" s="234"/>
      <c r="FS13" s="234"/>
      <c r="FT13" s="234"/>
      <c r="FU13" s="234"/>
      <c r="FV13" s="234"/>
      <c r="FW13" s="234"/>
      <c r="FX13" s="234"/>
      <c r="FY13" s="234"/>
      <c r="FZ13" s="234"/>
      <c r="GA13" s="234"/>
      <c r="GB13" s="234"/>
      <c r="GC13" s="234"/>
      <c r="GD13" s="234"/>
      <c r="GE13" s="234"/>
      <c r="GF13" s="234"/>
      <c r="GG13" s="234"/>
      <c r="GH13" s="234"/>
      <c r="GI13" s="234"/>
      <c r="GJ13" s="234"/>
      <c r="GK13" s="234"/>
      <c r="GL13" s="234"/>
      <c r="GM13" s="234"/>
      <c r="GN13" s="234"/>
      <c r="GO13" s="234"/>
      <c r="GP13" s="234"/>
      <c r="GQ13" s="234"/>
      <c r="GR13" s="234"/>
      <c r="GS13" s="234"/>
      <c r="GT13" s="234"/>
      <c r="GU13" s="234"/>
      <c r="GV13" s="234"/>
      <c r="GW13" s="234"/>
      <c r="GX13" s="234"/>
      <c r="GY13" s="234"/>
      <c r="GZ13" s="234"/>
      <c r="HA13" s="234"/>
      <c r="HB13" s="234"/>
      <c r="HC13" s="234"/>
      <c r="HD13" s="234"/>
      <c r="HE13" s="234"/>
      <c r="HF13" s="234"/>
      <c r="HG13" s="234"/>
      <c r="HH13" s="234"/>
      <c r="HI13" s="234"/>
      <c r="HJ13" s="234"/>
      <c r="HK13" s="234"/>
      <c r="HL13" s="234"/>
      <c r="HM13" s="234"/>
      <c r="HN13" s="234"/>
      <c r="HO13" s="234"/>
      <c r="HP13" s="234"/>
      <c r="HQ13" s="234"/>
      <c r="HR13" s="234"/>
      <c r="HS13" s="234"/>
      <c r="HT13" s="234"/>
      <c r="HU13" s="234"/>
      <c r="HV13" s="234"/>
      <c r="HW13" s="234"/>
      <c r="HX13" s="234"/>
      <c r="HY13" s="234"/>
      <c r="HZ13" s="234"/>
      <c r="IA13" s="234"/>
      <c r="IB13" s="234"/>
      <c r="IC13" s="234"/>
      <c r="ID13" s="234"/>
      <c r="IE13" s="234"/>
      <c r="IF13" s="234"/>
      <c r="IG13" s="234"/>
      <c r="IH13" s="234"/>
      <c r="II13" s="234"/>
      <c r="IJ13" s="234"/>
      <c r="IK13" s="234"/>
      <c r="IL13" s="234"/>
      <c r="IM13" s="234"/>
      <c r="IN13" s="234"/>
      <c r="IO13" s="234"/>
      <c r="IP13" s="234"/>
      <c r="IQ13" s="234"/>
      <c r="IR13" s="234"/>
      <c r="IS13" s="234"/>
      <c r="IT13" s="234"/>
      <c r="IU13" s="234"/>
      <c r="IV13" s="234"/>
    </row>
    <row r="14" ht="27.95" customHeight="1" spans="1:256">
      <c r="A14" s="219" t="s">
        <v>1208</v>
      </c>
      <c r="B14" s="211">
        <f>SUM(B7:B11)</f>
        <v>7050</v>
      </c>
      <c r="C14" s="211">
        <f>SUM(C7:C11)</f>
        <v>10000</v>
      </c>
      <c r="D14" s="212">
        <f>(C14-B14)/B14*100</f>
        <v>41.8439716312057</v>
      </c>
      <c r="E14" s="212">
        <f>(C14-B14)/B14*100</f>
        <v>41.8439716312057</v>
      </c>
      <c r="F14" s="220" t="s">
        <v>1209</v>
      </c>
      <c r="G14" s="221">
        <f>G7+G9+G11</f>
        <v>7050</v>
      </c>
      <c r="H14" s="221">
        <f>H9+H7+H11</f>
        <v>10000</v>
      </c>
      <c r="I14" s="212">
        <f t="shared" si="2"/>
        <v>141.843971631206</v>
      </c>
      <c r="J14" s="212">
        <f t="shared" si="3"/>
        <v>41.8439716312057</v>
      </c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  <c r="AT14" s="236"/>
      <c r="AU14" s="236"/>
      <c r="AV14" s="236"/>
      <c r="AW14" s="236"/>
      <c r="AX14" s="236"/>
      <c r="AY14" s="236"/>
      <c r="AZ14" s="236"/>
      <c r="BA14" s="236"/>
      <c r="BB14" s="236"/>
      <c r="BC14" s="236"/>
      <c r="BD14" s="236"/>
      <c r="BE14" s="236"/>
      <c r="BF14" s="236"/>
      <c r="BG14" s="236"/>
      <c r="BH14" s="236"/>
      <c r="BI14" s="236"/>
      <c r="BJ14" s="236"/>
      <c r="BK14" s="236"/>
      <c r="BL14" s="236"/>
      <c r="BM14" s="236"/>
      <c r="BN14" s="236"/>
      <c r="BO14" s="236"/>
      <c r="BP14" s="236"/>
      <c r="BQ14" s="236"/>
      <c r="BR14" s="236"/>
      <c r="BS14" s="236"/>
      <c r="BT14" s="236"/>
      <c r="BU14" s="236"/>
      <c r="BV14" s="236"/>
      <c r="BW14" s="236"/>
      <c r="BX14" s="236"/>
      <c r="BY14" s="236"/>
      <c r="BZ14" s="236"/>
      <c r="CA14" s="236"/>
      <c r="CB14" s="236"/>
      <c r="CC14" s="236"/>
      <c r="CD14" s="236"/>
      <c r="CE14" s="236"/>
      <c r="CF14" s="236"/>
      <c r="CG14" s="236"/>
      <c r="CH14" s="236"/>
      <c r="CI14" s="236"/>
      <c r="CJ14" s="236"/>
      <c r="CK14" s="236"/>
      <c r="CL14" s="236"/>
      <c r="CM14" s="236"/>
      <c r="CN14" s="236"/>
      <c r="CO14" s="236"/>
      <c r="CP14" s="236"/>
      <c r="CQ14" s="236"/>
      <c r="CR14" s="236"/>
      <c r="CS14" s="236"/>
      <c r="CT14" s="236"/>
      <c r="CU14" s="236"/>
      <c r="CV14" s="236"/>
      <c r="CW14" s="236"/>
      <c r="CX14" s="236"/>
      <c r="CY14" s="236"/>
      <c r="CZ14" s="236"/>
      <c r="DA14" s="236"/>
      <c r="DB14" s="236"/>
      <c r="DC14" s="236"/>
      <c r="DD14" s="236"/>
      <c r="DE14" s="236"/>
      <c r="DF14" s="236"/>
      <c r="DG14" s="236"/>
      <c r="DH14" s="236"/>
      <c r="DI14" s="236"/>
      <c r="DJ14" s="236"/>
      <c r="DK14" s="236"/>
      <c r="DL14" s="236"/>
      <c r="DM14" s="236"/>
      <c r="DN14" s="236"/>
      <c r="DO14" s="236"/>
      <c r="DP14" s="236"/>
      <c r="DQ14" s="236"/>
      <c r="DR14" s="236"/>
      <c r="DS14" s="236"/>
      <c r="DT14" s="236"/>
      <c r="DU14" s="236"/>
      <c r="DV14" s="236"/>
      <c r="DW14" s="236"/>
      <c r="DX14" s="236"/>
      <c r="DY14" s="236"/>
      <c r="DZ14" s="236"/>
      <c r="EA14" s="236"/>
      <c r="EB14" s="236"/>
      <c r="EC14" s="236"/>
      <c r="ED14" s="236"/>
      <c r="EE14" s="236"/>
      <c r="EF14" s="236"/>
      <c r="EG14" s="236"/>
      <c r="EH14" s="236"/>
      <c r="EI14" s="236"/>
      <c r="EJ14" s="236"/>
      <c r="EK14" s="236"/>
      <c r="EL14" s="236"/>
      <c r="EM14" s="236"/>
      <c r="EN14" s="236"/>
      <c r="EO14" s="236"/>
      <c r="EP14" s="236"/>
      <c r="EQ14" s="236"/>
      <c r="ER14" s="236"/>
      <c r="ES14" s="236"/>
      <c r="ET14" s="236"/>
      <c r="EU14" s="236"/>
      <c r="EV14" s="236"/>
      <c r="EW14" s="236"/>
      <c r="EX14" s="236"/>
      <c r="EY14" s="236"/>
      <c r="EZ14" s="236"/>
      <c r="FA14" s="236"/>
      <c r="FB14" s="236"/>
      <c r="FC14" s="236"/>
      <c r="FD14" s="236"/>
      <c r="FE14" s="236"/>
      <c r="FF14" s="236"/>
      <c r="FG14" s="236"/>
      <c r="FH14" s="236"/>
      <c r="FI14" s="236"/>
      <c r="FJ14" s="236"/>
      <c r="FK14" s="236"/>
      <c r="FL14" s="236"/>
      <c r="FM14" s="236"/>
      <c r="FN14" s="236"/>
      <c r="FO14" s="236"/>
      <c r="FP14" s="236"/>
      <c r="FQ14" s="236"/>
      <c r="FR14" s="236"/>
      <c r="FS14" s="236"/>
      <c r="FT14" s="236"/>
      <c r="FU14" s="236"/>
      <c r="FV14" s="236"/>
      <c r="FW14" s="236"/>
      <c r="FX14" s="236"/>
      <c r="FY14" s="236"/>
      <c r="FZ14" s="236"/>
      <c r="GA14" s="236"/>
      <c r="GB14" s="236"/>
      <c r="GC14" s="236"/>
      <c r="GD14" s="236"/>
      <c r="GE14" s="236"/>
      <c r="GF14" s="236"/>
      <c r="GG14" s="236"/>
      <c r="GH14" s="236"/>
      <c r="GI14" s="236"/>
      <c r="GJ14" s="236"/>
      <c r="GK14" s="236"/>
      <c r="GL14" s="236"/>
      <c r="GM14" s="236"/>
      <c r="GN14" s="236"/>
      <c r="GO14" s="236"/>
      <c r="GP14" s="236"/>
      <c r="GQ14" s="236"/>
      <c r="GR14" s="236"/>
      <c r="GS14" s="236"/>
      <c r="GT14" s="236"/>
      <c r="GU14" s="236"/>
      <c r="GV14" s="236"/>
      <c r="GW14" s="236"/>
      <c r="GX14" s="236"/>
      <c r="GY14" s="236"/>
      <c r="GZ14" s="236"/>
      <c r="HA14" s="236"/>
      <c r="HB14" s="236"/>
      <c r="HC14" s="236"/>
      <c r="HD14" s="236"/>
      <c r="HE14" s="236"/>
      <c r="HF14" s="236"/>
      <c r="HG14" s="236"/>
      <c r="HH14" s="236"/>
      <c r="HI14" s="236"/>
      <c r="HJ14" s="236"/>
      <c r="HK14" s="236"/>
      <c r="HL14" s="236"/>
      <c r="HM14" s="236"/>
      <c r="HN14" s="236"/>
      <c r="HO14" s="236"/>
      <c r="HP14" s="236"/>
      <c r="HQ14" s="236"/>
      <c r="HR14" s="236"/>
      <c r="HS14" s="236"/>
      <c r="HT14" s="236"/>
      <c r="HU14" s="236"/>
      <c r="HV14" s="236"/>
      <c r="HW14" s="236"/>
      <c r="HX14" s="236"/>
      <c r="HY14" s="236"/>
      <c r="HZ14" s="236"/>
      <c r="IA14" s="236"/>
      <c r="IB14" s="236"/>
      <c r="IC14" s="236"/>
      <c r="ID14" s="236"/>
      <c r="IE14" s="236"/>
      <c r="IF14" s="236"/>
      <c r="IG14" s="236"/>
      <c r="IH14" s="236"/>
      <c r="II14" s="236"/>
      <c r="IJ14" s="236"/>
      <c r="IK14" s="236"/>
      <c r="IL14" s="236"/>
      <c r="IM14" s="236"/>
      <c r="IN14" s="236"/>
      <c r="IO14" s="236"/>
      <c r="IP14" s="236"/>
      <c r="IQ14" s="236"/>
      <c r="IR14" s="236"/>
      <c r="IS14" s="236"/>
      <c r="IT14" s="236"/>
      <c r="IU14" s="236"/>
      <c r="IV14" s="236"/>
    </row>
    <row r="15" ht="27.95" customHeight="1" spans="1:256">
      <c r="A15" s="222" t="s">
        <v>1210</v>
      </c>
      <c r="B15" s="223"/>
      <c r="C15" s="224"/>
      <c r="D15" s="212"/>
      <c r="E15" s="212"/>
      <c r="F15" s="225" t="s">
        <v>1211</v>
      </c>
      <c r="G15" s="226"/>
      <c r="H15" s="226"/>
      <c r="I15" s="237"/>
      <c r="J15" s="237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2"/>
      <c r="BE15" s="232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/>
      <c r="BR15" s="232"/>
      <c r="BS15" s="232"/>
      <c r="BT15" s="232"/>
      <c r="BU15" s="232"/>
      <c r="BV15" s="232"/>
      <c r="BW15" s="232"/>
      <c r="BX15" s="232"/>
      <c r="BY15" s="232"/>
      <c r="BZ15" s="232"/>
      <c r="CA15" s="232"/>
      <c r="CB15" s="232"/>
      <c r="CC15" s="232"/>
      <c r="CD15" s="232"/>
      <c r="CE15" s="232"/>
      <c r="CF15" s="232"/>
      <c r="CG15" s="232"/>
      <c r="CH15" s="232"/>
      <c r="CI15" s="232"/>
      <c r="CJ15" s="232"/>
      <c r="CK15" s="232"/>
      <c r="CL15" s="232"/>
      <c r="CM15" s="232"/>
      <c r="CN15" s="232"/>
      <c r="CO15" s="232"/>
      <c r="CP15" s="232"/>
      <c r="CQ15" s="232"/>
      <c r="CR15" s="232"/>
      <c r="CS15" s="232"/>
      <c r="CT15" s="232"/>
      <c r="CU15" s="232"/>
      <c r="CV15" s="232"/>
      <c r="CW15" s="232"/>
      <c r="CX15" s="232"/>
      <c r="CY15" s="232"/>
      <c r="CZ15" s="232"/>
      <c r="DA15" s="232"/>
      <c r="DB15" s="232"/>
      <c r="DC15" s="232"/>
      <c r="DD15" s="232"/>
      <c r="DE15" s="232"/>
      <c r="DF15" s="232"/>
      <c r="DG15" s="232"/>
      <c r="DH15" s="232"/>
      <c r="DI15" s="232"/>
      <c r="DJ15" s="232"/>
      <c r="DK15" s="232"/>
      <c r="DL15" s="232"/>
      <c r="DM15" s="232"/>
      <c r="DN15" s="232"/>
      <c r="DO15" s="232"/>
      <c r="DP15" s="232"/>
      <c r="DQ15" s="232"/>
      <c r="DR15" s="232"/>
      <c r="DS15" s="232"/>
      <c r="DT15" s="232"/>
      <c r="DU15" s="232"/>
      <c r="DV15" s="232"/>
      <c r="DW15" s="232"/>
      <c r="DX15" s="232"/>
      <c r="DY15" s="232"/>
      <c r="DZ15" s="232"/>
      <c r="EA15" s="232"/>
      <c r="EB15" s="232"/>
      <c r="EC15" s="232"/>
      <c r="ED15" s="232"/>
      <c r="EE15" s="232"/>
      <c r="EF15" s="232"/>
      <c r="EG15" s="232"/>
      <c r="EH15" s="232"/>
      <c r="EI15" s="232"/>
      <c r="EJ15" s="232"/>
      <c r="EK15" s="232"/>
      <c r="EL15" s="232"/>
      <c r="EM15" s="232"/>
      <c r="EN15" s="232"/>
      <c r="EO15" s="232"/>
      <c r="EP15" s="232"/>
      <c r="EQ15" s="232"/>
      <c r="ER15" s="232"/>
      <c r="ES15" s="232"/>
      <c r="ET15" s="232"/>
      <c r="EU15" s="232"/>
      <c r="EV15" s="232"/>
      <c r="EW15" s="232"/>
      <c r="EX15" s="232"/>
      <c r="EY15" s="232"/>
      <c r="EZ15" s="232"/>
      <c r="FA15" s="232"/>
      <c r="FB15" s="232"/>
      <c r="FC15" s="232"/>
      <c r="FD15" s="232"/>
      <c r="FE15" s="232"/>
      <c r="FF15" s="232"/>
      <c r="FG15" s="232"/>
      <c r="FH15" s="232"/>
      <c r="FI15" s="232"/>
      <c r="FJ15" s="232"/>
      <c r="FK15" s="232"/>
      <c r="FL15" s="232"/>
      <c r="FM15" s="232"/>
      <c r="FN15" s="232"/>
      <c r="FO15" s="232"/>
      <c r="FP15" s="232"/>
      <c r="FQ15" s="232"/>
      <c r="FR15" s="232"/>
      <c r="FS15" s="232"/>
      <c r="FT15" s="232"/>
      <c r="FU15" s="232"/>
      <c r="FV15" s="232"/>
      <c r="FW15" s="232"/>
      <c r="FX15" s="232"/>
      <c r="FY15" s="232"/>
      <c r="FZ15" s="232"/>
      <c r="GA15" s="232"/>
      <c r="GB15" s="232"/>
      <c r="GC15" s="232"/>
      <c r="GD15" s="232"/>
      <c r="GE15" s="232"/>
      <c r="GF15" s="232"/>
      <c r="GG15" s="232"/>
      <c r="GH15" s="232"/>
      <c r="GI15" s="232"/>
      <c r="GJ15" s="232"/>
      <c r="GK15" s="232"/>
      <c r="GL15" s="232"/>
      <c r="GM15" s="232"/>
      <c r="GN15" s="232"/>
      <c r="GO15" s="232"/>
      <c r="GP15" s="232"/>
      <c r="GQ15" s="232"/>
      <c r="GR15" s="232"/>
      <c r="GS15" s="232"/>
      <c r="GT15" s="232"/>
      <c r="GU15" s="232"/>
      <c r="GV15" s="232"/>
      <c r="GW15" s="232"/>
      <c r="GX15" s="232"/>
      <c r="GY15" s="232"/>
      <c r="GZ15" s="232"/>
      <c r="HA15" s="232"/>
      <c r="HB15" s="232"/>
      <c r="HC15" s="232"/>
      <c r="HD15" s="232"/>
      <c r="HE15" s="232"/>
      <c r="HF15" s="232"/>
      <c r="HG15" s="232"/>
      <c r="HH15" s="232"/>
      <c r="HI15" s="232"/>
      <c r="HJ15" s="232"/>
      <c r="HK15" s="232"/>
      <c r="HL15" s="232"/>
      <c r="HM15" s="232"/>
      <c r="HN15" s="232"/>
      <c r="HO15" s="232"/>
      <c r="HP15" s="232"/>
      <c r="HQ15" s="232"/>
      <c r="HR15" s="232"/>
      <c r="HS15" s="232"/>
      <c r="HT15" s="232"/>
      <c r="HU15" s="232"/>
      <c r="HV15" s="232"/>
      <c r="HW15" s="232"/>
      <c r="HX15" s="232"/>
      <c r="HY15" s="232"/>
      <c r="HZ15" s="232"/>
      <c r="IA15" s="232"/>
      <c r="IB15" s="232"/>
      <c r="IC15" s="232"/>
      <c r="ID15" s="232"/>
      <c r="IE15" s="232"/>
      <c r="IF15" s="232"/>
      <c r="IG15" s="232"/>
      <c r="IH15" s="232"/>
      <c r="II15" s="232"/>
      <c r="IJ15" s="232"/>
      <c r="IK15" s="232"/>
      <c r="IL15" s="232"/>
      <c r="IM15" s="232"/>
      <c r="IN15" s="232"/>
      <c r="IO15" s="232"/>
      <c r="IP15" s="232"/>
      <c r="IQ15" s="232"/>
      <c r="IR15" s="232"/>
      <c r="IS15" s="232"/>
      <c r="IT15" s="232"/>
      <c r="IU15" s="232"/>
      <c r="IV15" s="232"/>
    </row>
    <row r="16" ht="27.95" customHeight="1" spans="1:256">
      <c r="A16" s="227"/>
      <c r="B16" s="228"/>
      <c r="C16" s="229"/>
      <c r="D16" s="212"/>
      <c r="E16" s="212"/>
      <c r="F16" s="230"/>
      <c r="G16" s="226"/>
      <c r="H16" s="226"/>
      <c r="I16" s="237"/>
      <c r="J16" s="237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232"/>
      <c r="BC16" s="232"/>
      <c r="BD16" s="232"/>
      <c r="BE16" s="232"/>
      <c r="BF16" s="232"/>
      <c r="BG16" s="232"/>
      <c r="BH16" s="232"/>
      <c r="BI16" s="232"/>
      <c r="BJ16" s="232"/>
      <c r="BK16" s="232"/>
      <c r="BL16" s="232"/>
      <c r="BM16" s="232"/>
      <c r="BN16" s="232"/>
      <c r="BO16" s="232"/>
      <c r="BP16" s="232"/>
      <c r="BQ16" s="232"/>
      <c r="BR16" s="232"/>
      <c r="BS16" s="232"/>
      <c r="BT16" s="232"/>
      <c r="BU16" s="232"/>
      <c r="BV16" s="232"/>
      <c r="BW16" s="232"/>
      <c r="BX16" s="232"/>
      <c r="BY16" s="232"/>
      <c r="BZ16" s="232"/>
      <c r="CA16" s="232"/>
      <c r="CB16" s="232"/>
      <c r="CC16" s="232"/>
      <c r="CD16" s="232"/>
      <c r="CE16" s="232"/>
      <c r="CF16" s="232"/>
      <c r="CG16" s="232"/>
      <c r="CH16" s="232"/>
      <c r="CI16" s="232"/>
      <c r="CJ16" s="232"/>
      <c r="CK16" s="232"/>
      <c r="CL16" s="232"/>
      <c r="CM16" s="232"/>
      <c r="CN16" s="232"/>
      <c r="CO16" s="232"/>
      <c r="CP16" s="232"/>
      <c r="CQ16" s="232"/>
      <c r="CR16" s="232"/>
      <c r="CS16" s="232"/>
      <c r="CT16" s="232"/>
      <c r="CU16" s="232"/>
      <c r="CV16" s="232"/>
      <c r="CW16" s="232"/>
      <c r="CX16" s="232"/>
      <c r="CY16" s="232"/>
      <c r="CZ16" s="232"/>
      <c r="DA16" s="232"/>
      <c r="DB16" s="232"/>
      <c r="DC16" s="232"/>
      <c r="DD16" s="232"/>
      <c r="DE16" s="232"/>
      <c r="DF16" s="232"/>
      <c r="DG16" s="232"/>
      <c r="DH16" s="232"/>
      <c r="DI16" s="232"/>
      <c r="DJ16" s="232"/>
      <c r="DK16" s="232"/>
      <c r="DL16" s="232"/>
      <c r="DM16" s="232"/>
      <c r="DN16" s="232"/>
      <c r="DO16" s="232"/>
      <c r="DP16" s="232"/>
      <c r="DQ16" s="232"/>
      <c r="DR16" s="232"/>
      <c r="DS16" s="232"/>
      <c r="DT16" s="232"/>
      <c r="DU16" s="232"/>
      <c r="DV16" s="232"/>
      <c r="DW16" s="232"/>
      <c r="DX16" s="232"/>
      <c r="DY16" s="232"/>
      <c r="DZ16" s="232"/>
      <c r="EA16" s="232"/>
      <c r="EB16" s="232"/>
      <c r="EC16" s="232"/>
      <c r="ED16" s="232"/>
      <c r="EE16" s="232"/>
      <c r="EF16" s="232"/>
      <c r="EG16" s="232"/>
      <c r="EH16" s="232"/>
      <c r="EI16" s="232"/>
      <c r="EJ16" s="232"/>
      <c r="EK16" s="232"/>
      <c r="EL16" s="232"/>
      <c r="EM16" s="232"/>
      <c r="EN16" s="232"/>
      <c r="EO16" s="232"/>
      <c r="EP16" s="232"/>
      <c r="EQ16" s="232"/>
      <c r="ER16" s="232"/>
      <c r="ES16" s="232"/>
      <c r="ET16" s="232"/>
      <c r="EU16" s="232"/>
      <c r="EV16" s="232"/>
      <c r="EW16" s="232"/>
      <c r="EX16" s="232"/>
      <c r="EY16" s="232"/>
      <c r="EZ16" s="232"/>
      <c r="FA16" s="232"/>
      <c r="FB16" s="232"/>
      <c r="FC16" s="232"/>
      <c r="FD16" s="232"/>
      <c r="FE16" s="232"/>
      <c r="FF16" s="232"/>
      <c r="FG16" s="232"/>
      <c r="FH16" s="232"/>
      <c r="FI16" s="232"/>
      <c r="FJ16" s="232"/>
      <c r="FK16" s="232"/>
      <c r="FL16" s="232"/>
      <c r="FM16" s="232"/>
      <c r="FN16" s="232"/>
      <c r="FO16" s="232"/>
      <c r="FP16" s="232"/>
      <c r="FQ16" s="232"/>
      <c r="FR16" s="232"/>
      <c r="FS16" s="232"/>
      <c r="FT16" s="232"/>
      <c r="FU16" s="232"/>
      <c r="FV16" s="232"/>
      <c r="FW16" s="232"/>
      <c r="FX16" s="232"/>
      <c r="FY16" s="232"/>
      <c r="FZ16" s="232"/>
      <c r="GA16" s="232"/>
      <c r="GB16" s="232"/>
      <c r="GC16" s="232"/>
      <c r="GD16" s="232"/>
      <c r="GE16" s="232"/>
      <c r="GF16" s="232"/>
      <c r="GG16" s="232"/>
      <c r="GH16" s="232"/>
      <c r="GI16" s="232"/>
      <c r="GJ16" s="232"/>
      <c r="GK16" s="232"/>
      <c r="GL16" s="232"/>
      <c r="GM16" s="232"/>
      <c r="GN16" s="232"/>
      <c r="GO16" s="232"/>
      <c r="GP16" s="232"/>
      <c r="GQ16" s="232"/>
      <c r="GR16" s="232"/>
      <c r="GS16" s="232"/>
      <c r="GT16" s="232"/>
      <c r="GU16" s="232"/>
      <c r="GV16" s="232"/>
      <c r="GW16" s="232"/>
      <c r="GX16" s="232"/>
      <c r="GY16" s="232"/>
      <c r="GZ16" s="232"/>
      <c r="HA16" s="232"/>
      <c r="HB16" s="232"/>
      <c r="HC16" s="232"/>
      <c r="HD16" s="232"/>
      <c r="HE16" s="232"/>
      <c r="HF16" s="232"/>
      <c r="HG16" s="232"/>
      <c r="HH16" s="232"/>
      <c r="HI16" s="232"/>
      <c r="HJ16" s="232"/>
      <c r="HK16" s="232"/>
      <c r="HL16" s="232"/>
      <c r="HM16" s="232"/>
      <c r="HN16" s="232"/>
      <c r="HO16" s="232"/>
      <c r="HP16" s="232"/>
      <c r="HQ16" s="232"/>
      <c r="HR16" s="232"/>
      <c r="HS16" s="232"/>
      <c r="HT16" s="232"/>
      <c r="HU16" s="232"/>
      <c r="HV16" s="232"/>
      <c r="HW16" s="232"/>
      <c r="HX16" s="232"/>
      <c r="HY16" s="232"/>
      <c r="HZ16" s="232"/>
      <c r="IA16" s="232"/>
      <c r="IB16" s="232"/>
      <c r="IC16" s="232"/>
      <c r="ID16" s="232"/>
      <c r="IE16" s="232"/>
      <c r="IF16" s="232"/>
      <c r="IG16" s="232"/>
      <c r="IH16" s="232"/>
      <c r="II16" s="232"/>
      <c r="IJ16" s="232"/>
      <c r="IK16" s="232"/>
      <c r="IL16" s="232"/>
      <c r="IM16" s="232"/>
      <c r="IN16" s="232"/>
      <c r="IO16" s="232"/>
      <c r="IP16" s="232"/>
      <c r="IQ16" s="232"/>
      <c r="IR16" s="232"/>
      <c r="IS16" s="232"/>
      <c r="IT16" s="232"/>
      <c r="IU16" s="232"/>
      <c r="IV16" s="232"/>
    </row>
    <row r="17" ht="27.95" customHeight="1" spans="1:256">
      <c r="A17" s="222" t="s">
        <v>1212</v>
      </c>
      <c r="B17" s="211">
        <f>B14+B15</f>
        <v>7050</v>
      </c>
      <c r="C17" s="211">
        <f>C14+C15</f>
        <v>10000</v>
      </c>
      <c r="D17" s="212">
        <f t="shared" ref="D17" si="4">(C17-B17)/B17*100</f>
        <v>41.8439716312057</v>
      </c>
      <c r="E17" s="212">
        <f t="shared" ref="E17" si="5">(C17-B17)/B17*100</f>
        <v>41.8439716312057</v>
      </c>
      <c r="F17" s="225" t="s">
        <v>1213</v>
      </c>
      <c r="G17" s="221">
        <f t="shared" ref="G17:J17" si="6">G14</f>
        <v>7050</v>
      </c>
      <c r="H17" s="221">
        <f t="shared" si="6"/>
        <v>10000</v>
      </c>
      <c r="I17" s="212">
        <f t="shared" si="6"/>
        <v>141.843971631206</v>
      </c>
      <c r="J17" s="212">
        <f t="shared" si="6"/>
        <v>41.8439716312057</v>
      </c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  <c r="AP17" s="232"/>
      <c r="AQ17" s="232"/>
      <c r="AR17" s="232"/>
      <c r="AS17" s="232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2"/>
      <c r="BE17" s="232"/>
      <c r="BF17" s="232"/>
      <c r="BG17" s="232"/>
      <c r="BH17" s="232"/>
      <c r="BI17" s="232"/>
      <c r="BJ17" s="232"/>
      <c r="BK17" s="232"/>
      <c r="BL17" s="232"/>
      <c r="BM17" s="232"/>
      <c r="BN17" s="232"/>
      <c r="BO17" s="232"/>
      <c r="BP17" s="232"/>
      <c r="BQ17" s="232"/>
      <c r="BR17" s="232"/>
      <c r="BS17" s="232"/>
      <c r="BT17" s="232"/>
      <c r="BU17" s="232"/>
      <c r="BV17" s="232"/>
      <c r="BW17" s="232"/>
      <c r="BX17" s="232"/>
      <c r="BY17" s="232"/>
      <c r="BZ17" s="232"/>
      <c r="CA17" s="232"/>
      <c r="CB17" s="232"/>
      <c r="CC17" s="232"/>
      <c r="CD17" s="232"/>
      <c r="CE17" s="232"/>
      <c r="CF17" s="232"/>
      <c r="CG17" s="232"/>
      <c r="CH17" s="232"/>
      <c r="CI17" s="232"/>
      <c r="CJ17" s="232"/>
      <c r="CK17" s="232"/>
      <c r="CL17" s="232"/>
      <c r="CM17" s="232"/>
      <c r="CN17" s="232"/>
      <c r="CO17" s="232"/>
      <c r="CP17" s="232"/>
      <c r="CQ17" s="232"/>
      <c r="CR17" s="232"/>
      <c r="CS17" s="232"/>
      <c r="CT17" s="232"/>
      <c r="CU17" s="232"/>
      <c r="CV17" s="232"/>
      <c r="CW17" s="232"/>
      <c r="CX17" s="232"/>
      <c r="CY17" s="232"/>
      <c r="CZ17" s="232"/>
      <c r="DA17" s="232"/>
      <c r="DB17" s="232"/>
      <c r="DC17" s="232"/>
      <c r="DD17" s="232"/>
      <c r="DE17" s="232"/>
      <c r="DF17" s="232"/>
      <c r="DG17" s="232"/>
      <c r="DH17" s="232"/>
      <c r="DI17" s="232"/>
      <c r="DJ17" s="232"/>
      <c r="DK17" s="232"/>
      <c r="DL17" s="232"/>
      <c r="DM17" s="232"/>
      <c r="DN17" s="232"/>
      <c r="DO17" s="232"/>
      <c r="DP17" s="232"/>
      <c r="DQ17" s="232"/>
      <c r="DR17" s="232"/>
      <c r="DS17" s="232"/>
      <c r="DT17" s="232"/>
      <c r="DU17" s="232"/>
      <c r="DV17" s="232"/>
      <c r="DW17" s="232"/>
      <c r="DX17" s="232"/>
      <c r="DY17" s="232"/>
      <c r="DZ17" s="232"/>
      <c r="EA17" s="232"/>
      <c r="EB17" s="232"/>
      <c r="EC17" s="232"/>
      <c r="ED17" s="232"/>
      <c r="EE17" s="232"/>
      <c r="EF17" s="232"/>
      <c r="EG17" s="232"/>
      <c r="EH17" s="232"/>
      <c r="EI17" s="232"/>
      <c r="EJ17" s="232"/>
      <c r="EK17" s="232"/>
      <c r="EL17" s="232"/>
      <c r="EM17" s="232"/>
      <c r="EN17" s="232"/>
      <c r="EO17" s="232"/>
      <c r="EP17" s="232"/>
      <c r="EQ17" s="232"/>
      <c r="ER17" s="232"/>
      <c r="ES17" s="232"/>
      <c r="ET17" s="232"/>
      <c r="EU17" s="232"/>
      <c r="EV17" s="232"/>
      <c r="EW17" s="232"/>
      <c r="EX17" s="232"/>
      <c r="EY17" s="232"/>
      <c r="EZ17" s="232"/>
      <c r="FA17" s="232"/>
      <c r="FB17" s="232"/>
      <c r="FC17" s="232"/>
      <c r="FD17" s="232"/>
      <c r="FE17" s="232"/>
      <c r="FF17" s="232"/>
      <c r="FG17" s="232"/>
      <c r="FH17" s="232"/>
      <c r="FI17" s="232"/>
      <c r="FJ17" s="232"/>
      <c r="FK17" s="232"/>
      <c r="FL17" s="232"/>
      <c r="FM17" s="232"/>
      <c r="FN17" s="232"/>
      <c r="FO17" s="232"/>
      <c r="FP17" s="232"/>
      <c r="FQ17" s="232"/>
      <c r="FR17" s="232"/>
      <c r="FS17" s="232"/>
      <c r="FT17" s="232"/>
      <c r="FU17" s="232"/>
      <c r="FV17" s="232"/>
      <c r="FW17" s="232"/>
      <c r="FX17" s="232"/>
      <c r="FY17" s="232"/>
      <c r="FZ17" s="232"/>
      <c r="GA17" s="232"/>
      <c r="GB17" s="232"/>
      <c r="GC17" s="232"/>
      <c r="GD17" s="232"/>
      <c r="GE17" s="232"/>
      <c r="GF17" s="232"/>
      <c r="GG17" s="232"/>
      <c r="GH17" s="232"/>
      <c r="GI17" s="232"/>
      <c r="GJ17" s="232"/>
      <c r="GK17" s="232"/>
      <c r="GL17" s="232"/>
      <c r="GM17" s="232"/>
      <c r="GN17" s="232"/>
      <c r="GO17" s="232"/>
      <c r="GP17" s="232"/>
      <c r="GQ17" s="232"/>
      <c r="GR17" s="232"/>
      <c r="GS17" s="232"/>
      <c r="GT17" s="232"/>
      <c r="GU17" s="232"/>
      <c r="GV17" s="232"/>
      <c r="GW17" s="232"/>
      <c r="GX17" s="232"/>
      <c r="GY17" s="232"/>
      <c r="GZ17" s="232"/>
      <c r="HA17" s="232"/>
      <c r="HB17" s="232"/>
      <c r="HC17" s="232"/>
      <c r="HD17" s="232"/>
      <c r="HE17" s="232"/>
      <c r="HF17" s="232"/>
      <c r="HG17" s="232"/>
      <c r="HH17" s="232"/>
      <c r="HI17" s="232"/>
      <c r="HJ17" s="232"/>
      <c r="HK17" s="232"/>
      <c r="HL17" s="232"/>
      <c r="HM17" s="232"/>
      <c r="HN17" s="232"/>
      <c r="HO17" s="232"/>
      <c r="HP17" s="232"/>
      <c r="HQ17" s="232"/>
      <c r="HR17" s="232"/>
      <c r="HS17" s="232"/>
      <c r="HT17" s="232"/>
      <c r="HU17" s="232"/>
      <c r="HV17" s="232"/>
      <c r="HW17" s="232"/>
      <c r="HX17" s="232"/>
      <c r="HY17" s="232"/>
      <c r="HZ17" s="232"/>
      <c r="IA17" s="232"/>
      <c r="IB17" s="232"/>
      <c r="IC17" s="232"/>
      <c r="ID17" s="232"/>
      <c r="IE17" s="232"/>
      <c r="IF17" s="232"/>
      <c r="IG17" s="232"/>
      <c r="IH17" s="232"/>
      <c r="II17" s="232"/>
      <c r="IJ17" s="232"/>
      <c r="IK17" s="232"/>
      <c r="IL17" s="232"/>
      <c r="IM17" s="232"/>
      <c r="IN17" s="232"/>
      <c r="IO17" s="232"/>
      <c r="IP17" s="232"/>
      <c r="IQ17" s="232"/>
      <c r="IR17" s="232"/>
      <c r="IS17" s="232"/>
      <c r="IT17" s="232"/>
      <c r="IU17" s="232"/>
      <c r="IV17" s="232"/>
    </row>
  </sheetData>
  <mergeCells count="10">
    <mergeCell ref="A2:J2"/>
    <mergeCell ref="G3:J3"/>
    <mergeCell ref="A4:E4"/>
    <mergeCell ref="F4:J4"/>
    <mergeCell ref="C5:E5"/>
    <mergeCell ref="H5:J5"/>
    <mergeCell ref="A5:A6"/>
    <mergeCell ref="B5:B6"/>
    <mergeCell ref="F5:F6"/>
    <mergeCell ref="G5:G6"/>
  </mergeCells>
  <pageMargins left="0.511805555555556" right="0.511805555555556" top="0.747916666666667" bottom="0.747916666666667" header="0.314583333333333" footer="0.590277777777778"/>
  <pageSetup paperSize="9" scale="91" firstPageNumber="53" orientation="landscape" useFirstPageNumber="1" horizontalDpi="600"/>
  <headerFooter>
    <oddFooter>&amp;C52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2"/>
  <sheetViews>
    <sheetView workbookViewId="0">
      <selection activeCell="A2" sqref="A2:E2"/>
    </sheetView>
  </sheetViews>
  <sheetFormatPr defaultColWidth="9" defaultRowHeight="15"/>
  <cols>
    <col min="1" max="1" width="36.75" style="37" customWidth="1"/>
    <col min="2" max="2" width="14.625" style="37" customWidth="1"/>
    <col min="3" max="3" width="13.875" style="37" customWidth="1"/>
    <col min="4" max="4" width="24.25" style="37" customWidth="1"/>
    <col min="5" max="5" width="25.375" style="37" customWidth="1"/>
    <col min="6" max="256" width="9.125" style="37"/>
  </cols>
  <sheetData>
    <row r="1" ht="19.5" customHeight="1" spans="1:1">
      <c r="A1" s="39" t="s">
        <v>81</v>
      </c>
    </row>
    <row r="2" ht="24.75" customHeight="1" spans="1:5">
      <c r="A2" s="197" t="s">
        <v>1214</v>
      </c>
      <c r="B2" s="197"/>
      <c r="C2" s="197"/>
      <c r="D2" s="197"/>
      <c r="E2" s="197"/>
    </row>
    <row r="3" ht="22.5" spans="1:5">
      <c r="A3" s="198"/>
      <c r="B3" s="152"/>
      <c r="C3" s="152"/>
      <c r="D3" s="152"/>
      <c r="E3" s="128" t="s">
        <v>36</v>
      </c>
    </row>
    <row r="4" ht="41.25" customHeight="1" spans="1:5">
      <c r="A4" s="154" t="s">
        <v>1215</v>
      </c>
      <c r="B4" s="155" t="s">
        <v>911</v>
      </c>
      <c r="C4" s="155" t="s">
        <v>1006</v>
      </c>
      <c r="D4" s="155"/>
      <c r="E4" s="155"/>
    </row>
    <row r="5" ht="25.5" customHeight="1" spans="1:5">
      <c r="A5" s="154"/>
      <c r="B5" s="155"/>
      <c r="C5" s="155" t="s">
        <v>87</v>
      </c>
      <c r="D5" s="155" t="s">
        <v>1216</v>
      </c>
      <c r="E5" s="155" t="s">
        <v>1194</v>
      </c>
    </row>
    <row r="6" ht="39.95" customHeight="1" spans="1:256">
      <c r="A6" s="199" t="s">
        <v>1196</v>
      </c>
      <c r="B6" s="185">
        <f>B7</f>
        <v>7000</v>
      </c>
      <c r="C6" s="185">
        <f>C7</f>
        <v>10000</v>
      </c>
      <c r="D6" s="186">
        <f>C6/B6*100</f>
        <v>142.857142857143</v>
      </c>
      <c r="E6" s="186">
        <f>(C6-B6)/B6*100</f>
        <v>42.8571428571429</v>
      </c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200"/>
      <c r="DB6" s="200"/>
      <c r="DC6" s="200"/>
      <c r="DD6" s="200"/>
      <c r="DE6" s="200"/>
      <c r="DF6" s="200"/>
      <c r="DG6" s="200"/>
      <c r="DH6" s="200"/>
      <c r="DI6" s="200"/>
      <c r="DJ6" s="200"/>
      <c r="DK6" s="200"/>
      <c r="DL6" s="200"/>
      <c r="DM6" s="200"/>
      <c r="DN6" s="200"/>
      <c r="DO6" s="200"/>
      <c r="DP6" s="200"/>
      <c r="DQ6" s="200"/>
      <c r="DR6" s="200"/>
      <c r="DS6" s="200"/>
      <c r="DT6" s="200"/>
      <c r="DU6" s="200"/>
      <c r="DV6" s="200"/>
      <c r="DW6" s="200"/>
      <c r="DX6" s="200"/>
      <c r="DY6" s="200"/>
      <c r="DZ6" s="200"/>
      <c r="EA6" s="200"/>
      <c r="EB6" s="200"/>
      <c r="EC6" s="200"/>
      <c r="ED6" s="200"/>
      <c r="EE6" s="200"/>
      <c r="EF6" s="200"/>
      <c r="EG6" s="200"/>
      <c r="EH6" s="200"/>
      <c r="EI6" s="200"/>
      <c r="EJ6" s="200"/>
      <c r="EK6" s="200"/>
      <c r="EL6" s="200"/>
      <c r="EM6" s="200"/>
      <c r="EN6" s="200"/>
      <c r="EO6" s="200"/>
      <c r="EP6" s="200"/>
      <c r="EQ6" s="200"/>
      <c r="ER6" s="200"/>
      <c r="ES6" s="200"/>
      <c r="ET6" s="200"/>
      <c r="EU6" s="200"/>
      <c r="EV6" s="200"/>
      <c r="EW6" s="200"/>
      <c r="EX6" s="200"/>
      <c r="EY6" s="200"/>
      <c r="EZ6" s="200"/>
      <c r="FA6" s="200"/>
      <c r="FB6" s="200"/>
      <c r="FC6" s="200"/>
      <c r="FD6" s="200"/>
      <c r="FE6" s="200"/>
      <c r="FF6" s="200"/>
      <c r="FG6" s="200"/>
      <c r="FH6" s="200"/>
      <c r="FI6" s="200"/>
      <c r="FJ6" s="200"/>
      <c r="FK6" s="200"/>
      <c r="FL6" s="200"/>
      <c r="FM6" s="200"/>
      <c r="FN6" s="200"/>
      <c r="FO6" s="200"/>
      <c r="FP6" s="200"/>
      <c r="FQ6" s="200"/>
      <c r="FR6" s="200"/>
      <c r="FS6" s="200"/>
      <c r="FT6" s="200"/>
      <c r="FU6" s="200"/>
      <c r="FV6" s="200"/>
      <c r="FW6" s="200"/>
      <c r="FX6" s="200"/>
      <c r="FY6" s="200"/>
      <c r="FZ6" s="200"/>
      <c r="GA6" s="200"/>
      <c r="GB6" s="200"/>
      <c r="GC6" s="200"/>
      <c r="GD6" s="200"/>
      <c r="GE6" s="200"/>
      <c r="GF6" s="200"/>
      <c r="GG6" s="200"/>
      <c r="GH6" s="200"/>
      <c r="GI6" s="200"/>
      <c r="GJ6" s="200"/>
      <c r="GK6" s="200"/>
      <c r="GL6" s="200"/>
      <c r="GM6" s="200"/>
      <c r="GN6" s="200"/>
      <c r="GO6" s="200"/>
      <c r="GP6" s="200"/>
      <c r="GQ6" s="200"/>
      <c r="GR6" s="200"/>
      <c r="GS6" s="200"/>
      <c r="GT6" s="200"/>
      <c r="GU6" s="200"/>
      <c r="GV6" s="200"/>
      <c r="GW6" s="200"/>
      <c r="GX6" s="200"/>
      <c r="GY6" s="200"/>
      <c r="GZ6" s="200"/>
      <c r="HA6" s="200"/>
      <c r="HB6" s="200"/>
      <c r="HC6" s="200"/>
      <c r="HD6" s="200"/>
      <c r="HE6" s="200"/>
      <c r="HF6" s="200"/>
      <c r="HG6" s="200"/>
      <c r="HH6" s="200"/>
      <c r="HI6" s="200"/>
      <c r="HJ6" s="200"/>
      <c r="HK6" s="200"/>
      <c r="HL6" s="200"/>
      <c r="HM6" s="200"/>
      <c r="HN6" s="200"/>
      <c r="HO6" s="200"/>
      <c r="HP6" s="200"/>
      <c r="HQ6" s="200"/>
      <c r="HR6" s="200"/>
      <c r="HS6" s="200"/>
      <c r="HT6" s="200"/>
      <c r="HU6" s="200"/>
      <c r="HV6" s="200"/>
      <c r="HW6" s="200"/>
      <c r="HX6" s="200"/>
      <c r="HY6" s="200"/>
      <c r="HZ6" s="200"/>
      <c r="IA6" s="200"/>
      <c r="IB6" s="200"/>
      <c r="IC6" s="200"/>
      <c r="ID6" s="200"/>
      <c r="IE6" s="200"/>
      <c r="IF6" s="200"/>
      <c r="IG6" s="200"/>
      <c r="IH6" s="200"/>
      <c r="II6" s="200"/>
      <c r="IJ6" s="200"/>
      <c r="IK6" s="200"/>
      <c r="IL6" s="200"/>
      <c r="IM6" s="200"/>
      <c r="IN6" s="200"/>
      <c r="IO6" s="200"/>
      <c r="IP6" s="200"/>
      <c r="IQ6" s="200"/>
      <c r="IR6" s="200"/>
      <c r="IS6" s="200"/>
      <c r="IT6" s="200"/>
      <c r="IU6" s="200"/>
      <c r="IV6" s="200"/>
    </row>
    <row r="7" ht="39.95" customHeight="1" spans="1:5">
      <c r="A7" s="201" t="s">
        <v>1217</v>
      </c>
      <c r="B7" s="202">
        <v>7000</v>
      </c>
      <c r="C7" s="191">
        <v>10000</v>
      </c>
      <c r="D7" s="192">
        <f>C7/B7*100</f>
        <v>142.857142857143</v>
      </c>
      <c r="E7" s="192">
        <f>(C7-B7)/B7*100</f>
        <v>42.8571428571429</v>
      </c>
    </row>
    <row r="8" ht="39.95" customHeight="1" spans="1:5">
      <c r="A8" s="199" t="s">
        <v>1198</v>
      </c>
      <c r="B8" s="196">
        <v>50</v>
      </c>
      <c r="C8" s="203"/>
      <c r="D8" s="189"/>
      <c r="E8" s="192"/>
    </row>
    <row r="9" ht="39.95" customHeight="1" spans="1:5">
      <c r="A9" s="199" t="s">
        <v>1200</v>
      </c>
      <c r="B9" s="204"/>
      <c r="C9" s="191"/>
      <c r="D9" s="192"/>
      <c r="E9" s="192"/>
    </row>
    <row r="10" ht="39.95" customHeight="1" spans="1:5">
      <c r="A10" s="199" t="s">
        <v>1202</v>
      </c>
      <c r="B10" s="204"/>
      <c r="C10" s="191"/>
      <c r="D10" s="192"/>
      <c r="E10" s="192"/>
    </row>
    <row r="11" ht="39.95" customHeight="1" spans="1:5">
      <c r="A11" s="199" t="s">
        <v>1204</v>
      </c>
      <c r="B11" s="204"/>
      <c r="C11" s="191"/>
      <c r="D11" s="192"/>
      <c r="E11" s="192"/>
    </row>
    <row r="12" ht="39.95" customHeight="1" spans="1:256">
      <c r="A12" s="199" t="s">
        <v>1218</v>
      </c>
      <c r="B12" s="185">
        <f>B6+B8+B9+B10+B11</f>
        <v>7050</v>
      </c>
      <c r="C12" s="185">
        <f>C6+C8+C9+C10+C11</f>
        <v>10000</v>
      </c>
      <c r="D12" s="186">
        <f>C12/B12*100</f>
        <v>141.843971631206</v>
      </c>
      <c r="E12" s="186">
        <f>(C12-B12)/B12*100</f>
        <v>41.8439716312057</v>
      </c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200"/>
      <c r="BS12" s="200"/>
      <c r="BT12" s="200"/>
      <c r="BU12" s="200"/>
      <c r="BV12" s="200"/>
      <c r="BW12" s="200"/>
      <c r="BX12" s="200"/>
      <c r="BY12" s="200"/>
      <c r="BZ12" s="200"/>
      <c r="CA12" s="200"/>
      <c r="CB12" s="200"/>
      <c r="CC12" s="200"/>
      <c r="CD12" s="200"/>
      <c r="CE12" s="200"/>
      <c r="CF12" s="200"/>
      <c r="CG12" s="200"/>
      <c r="CH12" s="200"/>
      <c r="CI12" s="200"/>
      <c r="CJ12" s="200"/>
      <c r="CK12" s="200"/>
      <c r="CL12" s="200"/>
      <c r="CM12" s="200"/>
      <c r="CN12" s="200"/>
      <c r="CO12" s="200"/>
      <c r="CP12" s="200"/>
      <c r="CQ12" s="200"/>
      <c r="CR12" s="200"/>
      <c r="CS12" s="200"/>
      <c r="CT12" s="200"/>
      <c r="CU12" s="200"/>
      <c r="CV12" s="200"/>
      <c r="CW12" s="200"/>
      <c r="CX12" s="200"/>
      <c r="CY12" s="200"/>
      <c r="CZ12" s="200"/>
      <c r="DA12" s="200"/>
      <c r="DB12" s="200"/>
      <c r="DC12" s="200"/>
      <c r="DD12" s="200"/>
      <c r="DE12" s="200"/>
      <c r="DF12" s="200"/>
      <c r="DG12" s="200"/>
      <c r="DH12" s="200"/>
      <c r="DI12" s="200"/>
      <c r="DJ12" s="200"/>
      <c r="DK12" s="200"/>
      <c r="DL12" s="200"/>
      <c r="DM12" s="200"/>
      <c r="DN12" s="200"/>
      <c r="DO12" s="200"/>
      <c r="DP12" s="200"/>
      <c r="DQ12" s="200"/>
      <c r="DR12" s="200"/>
      <c r="DS12" s="200"/>
      <c r="DT12" s="200"/>
      <c r="DU12" s="200"/>
      <c r="DV12" s="200"/>
      <c r="DW12" s="200"/>
      <c r="DX12" s="200"/>
      <c r="DY12" s="200"/>
      <c r="DZ12" s="200"/>
      <c r="EA12" s="200"/>
      <c r="EB12" s="200"/>
      <c r="EC12" s="200"/>
      <c r="ED12" s="200"/>
      <c r="EE12" s="200"/>
      <c r="EF12" s="200"/>
      <c r="EG12" s="200"/>
      <c r="EH12" s="200"/>
      <c r="EI12" s="200"/>
      <c r="EJ12" s="200"/>
      <c r="EK12" s="200"/>
      <c r="EL12" s="200"/>
      <c r="EM12" s="200"/>
      <c r="EN12" s="200"/>
      <c r="EO12" s="200"/>
      <c r="EP12" s="200"/>
      <c r="EQ12" s="200"/>
      <c r="ER12" s="200"/>
      <c r="ES12" s="200"/>
      <c r="ET12" s="200"/>
      <c r="EU12" s="200"/>
      <c r="EV12" s="200"/>
      <c r="EW12" s="200"/>
      <c r="EX12" s="200"/>
      <c r="EY12" s="200"/>
      <c r="EZ12" s="200"/>
      <c r="FA12" s="200"/>
      <c r="FB12" s="200"/>
      <c r="FC12" s="200"/>
      <c r="FD12" s="200"/>
      <c r="FE12" s="200"/>
      <c r="FF12" s="200"/>
      <c r="FG12" s="200"/>
      <c r="FH12" s="200"/>
      <c r="FI12" s="200"/>
      <c r="FJ12" s="200"/>
      <c r="FK12" s="200"/>
      <c r="FL12" s="200"/>
      <c r="FM12" s="200"/>
      <c r="FN12" s="200"/>
      <c r="FO12" s="200"/>
      <c r="FP12" s="200"/>
      <c r="FQ12" s="200"/>
      <c r="FR12" s="200"/>
      <c r="FS12" s="200"/>
      <c r="FT12" s="200"/>
      <c r="FU12" s="200"/>
      <c r="FV12" s="200"/>
      <c r="FW12" s="200"/>
      <c r="FX12" s="200"/>
      <c r="FY12" s="200"/>
      <c r="FZ12" s="200"/>
      <c r="GA12" s="200"/>
      <c r="GB12" s="200"/>
      <c r="GC12" s="200"/>
      <c r="GD12" s="200"/>
      <c r="GE12" s="200"/>
      <c r="GF12" s="200"/>
      <c r="GG12" s="200"/>
      <c r="GH12" s="200"/>
      <c r="GI12" s="200"/>
      <c r="GJ12" s="200"/>
      <c r="GK12" s="200"/>
      <c r="GL12" s="200"/>
      <c r="GM12" s="200"/>
      <c r="GN12" s="200"/>
      <c r="GO12" s="200"/>
      <c r="GP12" s="200"/>
      <c r="GQ12" s="200"/>
      <c r="GR12" s="200"/>
      <c r="GS12" s="200"/>
      <c r="GT12" s="200"/>
      <c r="GU12" s="200"/>
      <c r="GV12" s="200"/>
      <c r="GW12" s="200"/>
      <c r="GX12" s="200"/>
      <c r="GY12" s="200"/>
      <c r="GZ12" s="200"/>
      <c r="HA12" s="200"/>
      <c r="HB12" s="200"/>
      <c r="HC12" s="200"/>
      <c r="HD12" s="200"/>
      <c r="HE12" s="200"/>
      <c r="HF12" s="200"/>
      <c r="HG12" s="200"/>
      <c r="HH12" s="200"/>
      <c r="HI12" s="200"/>
      <c r="HJ12" s="200"/>
      <c r="HK12" s="200"/>
      <c r="HL12" s="200"/>
      <c r="HM12" s="200"/>
      <c r="HN12" s="200"/>
      <c r="HO12" s="200"/>
      <c r="HP12" s="200"/>
      <c r="HQ12" s="200"/>
      <c r="HR12" s="200"/>
      <c r="HS12" s="200"/>
      <c r="HT12" s="200"/>
      <c r="HU12" s="200"/>
      <c r="HV12" s="200"/>
      <c r="HW12" s="200"/>
      <c r="HX12" s="200"/>
      <c r="HY12" s="200"/>
      <c r="HZ12" s="200"/>
      <c r="IA12" s="200"/>
      <c r="IB12" s="200"/>
      <c r="IC12" s="200"/>
      <c r="ID12" s="200"/>
      <c r="IE12" s="200"/>
      <c r="IF12" s="200"/>
      <c r="IG12" s="200"/>
      <c r="IH12" s="200"/>
      <c r="II12" s="200"/>
      <c r="IJ12" s="200"/>
      <c r="IK12" s="200"/>
      <c r="IL12" s="200"/>
      <c r="IM12" s="200"/>
      <c r="IN12" s="200"/>
      <c r="IO12" s="200"/>
      <c r="IP12" s="200"/>
      <c r="IQ12" s="200"/>
      <c r="IR12" s="200"/>
      <c r="IS12" s="200"/>
      <c r="IT12" s="200"/>
      <c r="IU12" s="200"/>
      <c r="IV12" s="200"/>
    </row>
  </sheetData>
  <mergeCells count="4">
    <mergeCell ref="A2:E2"/>
    <mergeCell ref="C4:E4"/>
    <mergeCell ref="A4:A5"/>
    <mergeCell ref="B4:B5"/>
  </mergeCells>
  <printOptions horizontalCentered="1" verticalCentered="1"/>
  <pageMargins left="0.708333333333333" right="0.708333333333333" top="0.747916666666667" bottom="0.747916666666667" header="0.314583333333333" footer="0.590277777777778"/>
  <pageSetup paperSize="9" firstPageNumber="53" orientation="landscape" useFirstPageNumber="1" horizontalDpi="600"/>
  <headerFooter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3"/>
  <sheetViews>
    <sheetView workbookViewId="0">
      <selection activeCell="A2" sqref="A2:E2"/>
    </sheetView>
  </sheetViews>
  <sheetFormatPr defaultColWidth="9" defaultRowHeight="15"/>
  <cols>
    <col min="1" max="1" width="35.25" style="110" customWidth="1"/>
    <col min="2" max="2" width="19" style="110" customWidth="1"/>
    <col min="3" max="3" width="14.375" style="37" customWidth="1"/>
    <col min="4" max="4" width="23" style="178" customWidth="1"/>
    <col min="5" max="5" width="24.625" style="178" customWidth="1"/>
    <col min="6" max="256" width="9.125" style="110"/>
  </cols>
  <sheetData>
    <row r="1" ht="27" customHeight="1" spans="1:4">
      <c r="A1" s="39" t="s">
        <v>906</v>
      </c>
      <c r="B1" s="176"/>
      <c r="C1" s="39"/>
      <c r="D1" s="179"/>
    </row>
    <row r="2" ht="24" spans="1:6">
      <c r="A2" s="180" t="s">
        <v>1219</v>
      </c>
      <c r="B2" s="180"/>
      <c r="C2" s="180"/>
      <c r="D2" s="180"/>
      <c r="E2" s="180"/>
      <c r="F2" s="180"/>
    </row>
    <row r="3" spans="1:5">
      <c r="A3" s="151"/>
      <c r="B3" s="151"/>
      <c r="D3" s="128" t="s">
        <v>36</v>
      </c>
      <c r="E3" s="128"/>
    </row>
    <row r="4" ht="35.25" customHeight="1" spans="1:5">
      <c r="A4" s="154" t="s">
        <v>908</v>
      </c>
      <c r="B4" s="155" t="s">
        <v>911</v>
      </c>
      <c r="C4" s="154" t="s">
        <v>1006</v>
      </c>
      <c r="D4" s="154"/>
      <c r="E4" s="154"/>
    </row>
    <row r="5" ht="20.25" customHeight="1" spans="1:5">
      <c r="A5" s="154"/>
      <c r="B5" s="155"/>
      <c r="C5" s="155" t="s">
        <v>87</v>
      </c>
      <c r="D5" s="181" t="s">
        <v>1216</v>
      </c>
      <c r="E5" s="181" t="s">
        <v>1194</v>
      </c>
    </row>
    <row r="6" ht="35.1" customHeight="1" spans="1:256">
      <c r="A6" s="156" t="s">
        <v>1197</v>
      </c>
      <c r="B6" s="182"/>
      <c r="C6" s="182"/>
      <c r="D6" s="183"/>
      <c r="E6" s="183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  <c r="IR6" s="61"/>
      <c r="IS6" s="61"/>
      <c r="IT6" s="61"/>
      <c r="IU6" s="61"/>
      <c r="IV6" s="61"/>
    </row>
    <row r="7" ht="35.1" customHeight="1" spans="1:256">
      <c r="A7" s="132" t="s">
        <v>1201</v>
      </c>
      <c r="B7" s="184">
        <f t="shared" ref="B7:B11" si="0">B8</f>
        <v>5000</v>
      </c>
      <c r="C7" s="185">
        <f t="shared" ref="C7:C11" si="1">C8</f>
        <v>7000</v>
      </c>
      <c r="D7" s="186">
        <f t="shared" ref="D7:D13" si="2">C7/B7*100</f>
        <v>140</v>
      </c>
      <c r="E7" s="186">
        <f t="shared" ref="E7:E9" si="3">(C7-B7)/B7*100</f>
        <v>40</v>
      </c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  <c r="IR7" s="60"/>
      <c r="IS7" s="60"/>
      <c r="IT7" s="60"/>
      <c r="IU7" s="60"/>
      <c r="IV7" s="60"/>
    </row>
    <row r="8" ht="35.1" customHeight="1" spans="1:256">
      <c r="A8" s="139" t="s">
        <v>1220</v>
      </c>
      <c r="B8" s="187">
        <f t="shared" si="0"/>
        <v>5000</v>
      </c>
      <c r="C8" s="188">
        <f t="shared" si="1"/>
        <v>7000</v>
      </c>
      <c r="D8" s="189">
        <f t="shared" si="2"/>
        <v>140</v>
      </c>
      <c r="E8" s="189">
        <f t="shared" si="3"/>
        <v>40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  <c r="IR8" s="61"/>
      <c r="IS8" s="61"/>
      <c r="IT8" s="61"/>
      <c r="IU8" s="61"/>
      <c r="IV8" s="61"/>
    </row>
    <row r="9" ht="35.1" customHeight="1" spans="1:256">
      <c r="A9" s="175" t="s">
        <v>1220</v>
      </c>
      <c r="B9" s="190">
        <v>5000</v>
      </c>
      <c r="C9" s="191">
        <v>7000</v>
      </c>
      <c r="D9" s="192">
        <f t="shared" si="2"/>
        <v>140</v>
      </c>
      <c r="E9" s="192">
        <f t="shared" si="3"/>
        <v>40</v>
      </c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  <c r="IR9" s="61"/>
      <c r="IS9" s="61"/>
      <c r="IT9" s="61"/>
      <c r="IU9" s="61"/>
      <c r="IV9" s="61"/>
    </row>
    <row r="10" ht="35.1" customHeight="1" spans="1:256">
      <c r="A10" s="132" t="s">
        <v>1205</v>
      </c>
      <c r="B10" s="193">
        <f t="shared" si="0"/>
        <v>2050</v>
      </c>
      <c r="C10" s="194">
        <f t="shared" si="1"/>
        <v>3000</v>
      </c>
      <c r="D10" s="186">
        <f t="shared" si="2"/>
        <v>146.341463414634</v>
      </c>
      <c r="E10" s="192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  <c r="IR10" s="61"/>
      <c r="IS10" s="61"/>
      <c r="IT10" s="61"/>
      <c r="IU10" s="61"/>
      <c r="IV10" s="61"/>
    </row>
    <row r="11" ht="35.1" customHeight="1" spans="1:256">
      <c r="A11" s="139" t="s">
        <v>1206</v>
      </c>
      <c r="B11" s="195">
        <f t="shared" si="0"/>
        <v>2050</v>
      </c>
      <c r="C11" s="196">
        <f t="shared" si="1"/>
        <v>3000</v>
      </c>
      <c r="D11" s="189">
        <f t="shared" si="2"/>
        <v>146.341463414634</v>
      </c>
      <c r="E11" s="192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  <c r="IR11" s="61"/>
      <c r="IS11" s="61"/>
      <c r="IT11" s="61"/>
      <c r="IU11" s="61"/>
      <c r="IV11" s="61"/>
    </row>
    <row r="12" ht="35.1" customHeight="1" spans="1:256">
      <c r="A12" s="175" t="s">
        <v>1207</v>
      </c>
      <c r="B12" s="190">
        <v>2050</v>
      </c>
      <c r="C12" s="191">
        <v>3000</v>
      </c>
      <c r="D12" s="192">
        <f t="shared" si="2"/>
        <v>146.341463414634</v>
      </c>
      <c r="E12" s="192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  <c r="IR12" s="61"/>
      <c r="IS12" s="61"/>
      <c r="IT12" s="61"/>
      <c r="IU12" s="61"/>
      <c r="IV12" s="61"/>
    </row>
    <row r="13" ht="35.1" customHeight="1" spans="1:256">
      <c r="A13" s="132" t="s">
        <v>1221</v>
      </c>
      <c r="B13" s="184">
        <f>B6+B7+B10</f>
        <v>7050</v>
      </c>
      <c r="C13" s="185">
        <f>C6+C7+C10</f>
        <v>10000</v>
      </c>
      <c r="D13" s="186">
        <f t="shared" si="2"/>
        <v>141.843971631206</v>
      </c>
      <c r="E13" s="186">
        <f>(C13-B13)/B13*100</f>
        <v>41.8439716312057</v>
      </c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  <c r="IS13" s="60"/>
      <c r="IT13" s="60"/>
      <c r="IU13" s="60"/>
      <c r="IV13" s="60"/>
    </row>
  </sheetData>
  <mergeCells count="6">
    <mergeCell ref="A2:E2"/>
    <mergeCell ref="A3:B3"/>
    <mergeCell ref="D3:E3"/>
    <mergeCell ref="C4:E4"/>
    <mergeCell ref="A4:A5"/>
    <mergeCell ref="B4:B5"/>
  </mergeCells>
  <printOptions horizontalCentered="1" verticalCentered="1"/>
  <pageMargins left="0.708333333333333" right="0.708333333333333" top="0.747916666666667" bottom="0.747916666666667" header="0.314583333333333" footer="0.590277777777778"/>
  <pageSetup paperSize="9" firstPageNumber="54" orientation="landscape" useFirstPageNumber="1" horizontalDpi="600"/>
  <headerFooter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13"/>
  <sheetViews>
    <sheetView showZeros="0" workbookViewId="0">
      <selection activeCell="A2" sqref="A2:I2"/>
    </sheetView>
  </sheetViews>
  <sheetFormatPr defaultColWidth="9" defaultRowHeight="15"/>
  <cols>
    <col min="1" max="1" width="32.125" style="110" customWidth="1"/>
    <col min="2" max="2" width="10.625" style="110" customWidth="1"/>
    <col min="3" max="5" width="10.625" style="37" customWidth="1"/>
    <col min="6" max="9" width="10.625" style="110" customWidth="1"/>
    <col min="10" max="255" width="9.125" style="110"/>
  </cols>
  <sheetData>
    <row r="1" ht="28.5" customHeight="1" spans="1:1">
      <c r="A1" s="38" t="s">
        <v>1222</v>
      </c>
    </row>
    <row r="2" ht="24" spans="1:9">
      <c r="A2" s="126" t="s">
        <v>1223</v>
      </c>
      <c r="B2" s="126"/>
      <c r="C2" s="126"/>
      <c r="D2" s="126"/>
      <c r="E2" s="126"/>
      <c r="F2" s="126"/>
      <c r="G2" s="126"/>
      <c r="H2" s="126"/>
      <c r="I2" s="126"/>
    </row>
    <row r="3" ht="22.5" spans="1:9">
      <c r="A3" s="151"/>
      <c r="B3" s="151"/>
      <c r="C3" s="152"/>
      <c r="H3" s="153" t="s">
        <v>36</v>
      </c>
      <c r="I3" s="153"/>
    </row>
    <row r="4" ht="25.5" customHeight="1" spans="1:255">
      <c r="A4" s="154" t="s">
        <v>908</v>
      </c>
      <c r="B4" s="154" t="s">
        <v>911</v>
      </c>
      <c r="C4" s="154"/>
      <c r="D4" s="154"/>
      <c r="E4" s="154"/>
      <c r="F4" s="154" t="s">
        <v>1006</v>
      </c>
      <c r="G4" s="154"/>
      <c r="H4" s="154"/>
      <c r="I4" s="154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6"/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6"/>
      <c r="BZ4" s="176"/>
      <c r="CA4" s="176"/>
      <c r="CB4" s="176"/>
      <c r="CC4" s="176"/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6"/>
      <c r="CQ4" s="176"/>
      <c r="CR4" s="176"/>
      <c r="CS4" s="176"/>
      <c r="CT4" s="176"/>
      <c r="CU4" s="176"/>
      <c r="CV4" s="176"/>
      <c r="CW4" s="176"/>
      <c r="CX4" s="176"/>
      <c r="CY4" s="176"/>
      <c r="CZ4" s="176"/>
      <c r="DA4" s="176"/>
      <c r="DB4" s="176"/>
      <c r="DC4" s="176"/>
      <c r="DD4" s="176"/>
      <c r="DE4" s="176"/>
      <c r="DF4" s="176"/>
      <c r="DG4" s="176"/>
      <c r="DH4" s="176"/>
      <c r="DI4" s="176"/>
      <c r="DJ4" s="176"/>
      <c r="DK4" s="176"/>
      <c r="DL4" s="176"/>
      <c r="DM4" s="176"/>
      <c r="DN4" s="176"/>
      <c r="DO4" s="176"/>
      <c r="DP4" s="176"/>
      <c r="DQ4" s="176"/>
      <c r="DR4" s="176"/>
      <c r="DS4" s="176"/>
      <c r="DT4" s="176"/>
      <c r="DU4" s="176"/>
      <c r="DV4" s="176"/>
      <c r="DW4" s="176"/>
      <c r="DX4" s="176"/>
      <c r="DY4" s="176"/>
      <c r="DZ4" s="176"/>
      <c r="EA4" s="176"/>
      <c r="EB4" s="176"/>
      <c r="EC4" s="176"/>
      <c r="ED4" s="176"/>
      <c r="EE4" s="176"/>
      <c r="EF4" s="176"/>
      <c r="EG4" s="176"/>
      <c r="EH4" s="176"/>
      <c r="EI4" s="176"/>
      <c r="EJ4" s="176"/>
      <c r="EK4" s="176"/>
      <c r="EL4" s="176"/>
      <c r="EM4" s="176"/>
      <c r="EN4" s="176"/>
      <c r="EO4" s="176"/>
      <c r="EP4" s="176"/>
      <c r="EQ4" s="176"/>
      <c r="ER4" s="176"/>
      <c r="ES4" s="176"/>
      <c r="ET4" s="176"/>
      <c r="EU4" s="176"/>
      <c r="EV4" s="176"/>
      <c r="EW4" s="176"/>
      <c r="EX4" s="176"/>
      <c r="EY4" s="176"/>
      <c r="EZ4" s="176"/>
      <c r="FA4" s="176"/>
      <c r="FB4" s="176"/>
      <c r="FC4" s="176"/>
      <c r="FD4" s="176"/>
      <c r="FE4" s="176"/>
      <c r="FF4" s="176"/>
      <c r="FG4" s="176"/>
      <c r="FH4" s="176"/>
      <c r="FI4" s="176"/>
      <c r="FJ4" s="176"/>
      <c r="FK4" s="176"/>
      <c r="FL4" s="176"/>
      <c r="FM4" s="176"/>
      <c r="FN4" s="176"/>
      <c r="FO4" s="176"/>
      <c r="FP4" s="176"/>
      <c r="FQ4" s="176"/>
      <c r="FR4" s="176"/>
      <c r="FS4" s="176"/>
      <c r="FT4" s="176"/>
      <c r="FU4" s="176"/>
      <c r="FV4" s="176"/>
      <c r="FW4" s="176"/>
      <c r="FX4" s="176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6"/>
      <c r="IS4" s="176"/>
      <c r="IT4" s="176"/>
      <c r="IU4" s="176"/>
    </row>
    <row r="5" ht="30" spans="1:255">
      <c r="A5" s="154"/>
      <c r="B5" s="154" t="s">
        <v>1224</v>
      </c>
      <c r="C5" s="155" t="s">
        <v>1225</v>
      </c>
      <c r="D5" s="155" t="s">
        <v>1226</v>
      </c>
      <c r="E5" s="154" t="s">
        <v>1227</v>
      </c>
      <c r="F5" s="154" t="s">
        <v>1224</v>
      </c>
      <c r="G5" s="155" t="s">
        <v>1225</v>
      </c>
      <c r="H5" s="155" t="s">
        <v>1226</v>
      </c>
      <c r="I5" s="154" t="s">
        <v>1227</v>
      </c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  <c r="DE5" s="176"/>
      <c r="DF5" s="176"/>
      <c r="DG5" s="176"/>
      <c r="DH5" s="176"/>
      <c r="DI5" s="176"/>
      <c r="DJ5" s="176"/>
      <c r="DK5" s="176"/>
      <c r="DL5" s="176"/>
      <c r="DM5" s="176"/>
      <c r="DN5" s="176"/>
      <c r="DO5" s="176"/>
      <c r="DP5" s="176"/>
      <c r="DQ5" s="176"/>
      <c r="DR5" s="176"/>
      <c r="DS5" s="176"/>
      <c r="DT5" s="176"/>
      <c r="DU5" s="176"/>
      <c r="DV5" s="176"/>
      <c r="DW5" s="176"/>
      <c r="DX5" s="176"/>
      <c r="DY5" s="176"/>
      <c r="DZ5" s="176"/>
      <c r="EA5" s="176"/>
      <c r="EB5" s="176"/>
      <c r="EC5" s="176"/>
      <c r="ED5" s="176"/>
      <c r="EE5" s="176"/>
      <c r="EF5" s="176"/>
      <c r="EG5" s="176"/>
      <c r="EH5" s="176"/>
      <c r="EI5" s="176"/>
      <c r="EJ5" s="176"/>
      <c r="EK5" s="176"/>
      <c r="EL5" s="176"/>
      <c r="EM5" s="176"/>
      <c r="EN5" s="176"/>
      <c r="EO5" s="176"/>
      <c r="EP5" s="176"/>
      <c r="EQ5" s="176"/>
      <c r="ER5" s="176"/>
      <c r="ES5" s="176"/>
      <c r="ET5" s="176"/>
      <c r="EU5" s="176"/>
      <c r="EV5" s="176"/>
      <c r="EW5" s="176"/>
      <c r="EX5" s="176"/>
      <c r="EY5" s="176"/>
      <c r="EZ5" s="176"/>
      <c r="FA5" s="176"/>
      <c r="FB5" s="176"/>
      <c r="FC5" s="176"/>
      <c r="FD5" s="176"/>
      <c r="FE5" s="176"/>
      <c r="FF5" s="176"/>
      <c r="FG5" s="176"/>
      <c r="FH5" s="176"/>
      <c r="FI5" s="176"/>
      <c r="FJ5" s="176"/>
      <c r="FK5" s="176"/>
      <c r="FL5" s="176"/>
      <c r="FM5" s="176"/>
      <c r="FN5" s="176"/>
      <c r="FO5" s="176"/>
      <c r="FP5" s="176"/>
      <c r="FQ5" s="176"/>
      <c r="FR5" s="176"/>
      <c r="FS5" s="176"/>
      <c r="FT5" s="176"/>
      <c r="FU5" s="176"/>
      <c r="FV5" s="176"/>
      <c r="FW5" s="176"/>
      <c r="FX5" s="176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76"/>
      <c r="IS5" s="176"/>
      <c r="IT5" s="176"/>
      <c r="IU5" s="176"/>
    </row>
    <row r="6" ht="39.95" customHeight="1" spans="1:255">
      <c r="A6" s="156" t="s">
        <v>1197</v>
      </c>
      <c r="B6" s="157"/>
      <c r="C6" s="157"/>
      <c r="D6" s="157"/>
      <c r="E6" s="157"/>
      <c r="F6" s="157"/>
      <c r="G6" s="157"/>
      <c r="H6" s="157"/>
      <c r="I6" s="157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76"/>
      <c r="CZ6" s="176"/>
      <c r="DA6" s="176"/>
      <c r="DB6" s="176"/>
      <c r="DC6" s="176"/>
      <c r="DD6" s="176"/>
      <c r="DE6" s="176"/>
      <c r="DF6" s="176"/>
      <c r="DG6" s="176"/>
      <c r="DH6" s="176"/>
      <c r="DI6" s="176"/>
      <c r="DJ6" s="176"/>
      <c r="DK6" s="176"/>
      <c r="DL6" s="176"/>
      <c r="DM6" s="176"/>
      <c r="DN6" s="176"/>
      <c r="DO6" s="176"/>
      <c r="DP6" s="176"/>
      <c r="DQ6" s="176"/>
      <c r="DR6" s="176"/>
      <c r="DS6" s="176"/>
      <c r="DT6" s="176"/>
      <c r="DU6" s="176"/>
      <c r="DV6" s="176"/>
      <c r="DW6" s="176"/>
      <c r="DX6" s="176"/>
      <c r="DY6" s="176"/>
      <c r="DZ6" s="176"/>
      <c r="EA6" s="176"/>
      <c r="EB6" s="176"/>
      <c r="EC6" s="176"/>
      <c r="ED6" s="176"/>
      <c r="EE6" s="176"/>
      <c r="EF6" s="176"/>
      <c r="EG6" s="176"/>
      <c r="EH6" s="176"/>
      <c r="EI6" s="176"/>
      <c r="EJ6" s="176"/>
      <c r="EK6" s="176"/>
      <c r="EL6" s="176"/>
      <c r="EM6" s="176"/>
      <c r="EN6" s="176"/>
      <c r="EO6" s="176"/>
      <c r="EP6" s="176"/>
      <c r="EQ6" s="176"/>
      <c r="ER6" s="176"/>
      <c r="ES6" s="176"/>
      <c r="ET6" s="176"/>
      <c r="EU6" s="176"/>
      <c r="EV6" s="176"/>
      <c r="EW6" s="176"/>
      <c r="EX6" s="176"/>
      <c r="EY6" s="176"/>
      <c r="EZ6" s="176"/>
      <c r="FA6" s="176"/>
      <c r="FB6" s="176"/>
      <c r="FC6" s="176"/>
      <c r="FD6" s="176"/>
      <c r="FE6" s="176"/>
      <c r="FF6" s="176"/>
      <c r="FG6" s="176"/>
      <c r="FH6" s="176"/>
      <c r="FI6" s="176"/>
      <c r="FJ6" s="176"/>
      <c r="FK6" s="176"/>
      <c r="FL6" s="176"/>
      <c r="FM6" s="176"/>
      <c r="FN6" s="176"/>
      <c r="FO6" s="176"/>
      <c r="FP6" s="176"/>
      <c r="FQ6" s="176"/>
      <c r="FR6" s="176"/>
      <c r="FS6" s="176"/>
      <c r="FT6" s="176"/>
      <c r="FU6" s="176"/>
      <c r="FV6" s="176"/>
      <c r="FW6" s="176"/>
      <c r="FX6" s="176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6"/>
      <c r="IS6" s="176"/>
      <c r="IT6" s="176"/>
      <c r="IU6" s="176"/>
    </row>
    <row r="7" ht="39.95" customHeight="1" spans="1:255">
      <c r="A7" s="158" t="s">
        <v>1201</v>
      </c>
      <c r="B7" s="159" t="str">
        <f t="shared" ref="B7:I7" si="0">B8</f>
        <v>5000</v>
      </c>
      <c r="C7" s="160">
        <f t="shared" si="0"/>
        <v>2500</v>
      </c>
      <c r="D7" s="160">
        <f t="shared" si="0"/>
        <v>2500</v>
      </c>
      <c r="E7" s="160">
        <f t="shared" si="0"/>
        <v>0</v>
      </c>
      <c r="F7" s="161">
        <f t="shared" si="0"/>
        <v>7000</v>
      </c>
      <c r="G7" s="161">
        <f t="shared" si="0"/>
        <v>3500</v>
      </c>
      <c r="H7" s="161">
        <f t="shared" si="0"/>
        <v>3500</v>
      </c>
      <c r="I7" s="161">
        <f t="shared" si="0"/>
        <v>0</v>
      </c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77"/>
      <c r="BR7" s="177"/>
      <c r="BS7" s="177"/>
      <c r="BT7" s="177"/>
      <c r="BU7" s="177"/>
      <c r="BV7" s="177"/>
      <c r="BW7" s="177"/>
      <c r="BX7" s="177"/>
      <c r="BY7" s="177"/>
      <c r="BZ7" s="177"/>
      <c r="CA7" s="177"/>
      <c r="CB7" s="177"/>
      <c r="CC7" s="177"/>
      <c r="CD7" s="177"/>
      <c r="CE7" s="177"/>
      <c r="CF7" s="177"/>
      <c r="CG7" s="177"/>
      <c r="CH7" s="177"/>
      <c r="CI7" s="177"/>
      <c r="CJ7" s="177"/>
      <c r="CK7" s="177"/>
      <c r="CL7" s="177"/>
      <c r="CM7" s="177"/>
      <c r="CN7" s="177"/>
      <c r="CO7" s="177"/>
      <c r="CP7" s="177"/>
      <c r="CQ7" s="177"/>
      <c r="CR7" s="177"/>
      <c r="CS7" s="177"/>
      <c r="CT7" s="177"/>
      <c r="CU7" s="177"/>
      <c r="CV7" s="177"/>
      <c r="CW7" s="177"/>
      <c r="CX7" s="177"/>
      <c r="CY7" s="177"/>
      <c r="CZ7" s="177"/>
      <c r="DA7" s="177"/>
      <c r="DB7" s="177"/>
      <c r="DC7" s="177"/>
      <c r="DD7" s="177"/>
      <c r="DE7" s="177"/>
      <c r="DF7" s="177"/>
      <c r="DG7" s="177"/>
      <c r="DH7" s="177"/>
      <c r="DI7" s="177"/>
      <c r="DJ7" s="177"/>
      <c r="DK7" s="177"/>
      <c r="DL7" s="177"/>
      <c r="DM7" s="177"/>
      <c r="DN7" s="177"/>
      <c r="DO7" s="177"/>
      <c r="DP7" s="177"/>
      <c r="DQ7" s="177"/>
      <c r="DR7" s="177"/>
      <c r="DS7" s="177"/>
      <c r="DT7" s="177"/>
      <c r="DU7" s="177"/>
      <c r="DV7" s="177"/>
      <c r="DW7" s="177"/>
      <c r="DX7" s="177"/>
      <c r="DY7" s="177"/>
      <c r="DZ7" s="177"/>
      <c r="EA7" s="177"/>
      <c r="EB7" s="177"/>
      <c r="EC7" s="177"/>
      <c r="ED7" s="177"/>
      <c r="EE7" s="177"/>
      <c r="EF7" s="177"/>
      <c r="EG7" s="177"/>
      <c r="EH7" s="177"/>
      <c r="EI7" s="177"/>
      <c r="EJ7" s="177"/>
      <c r="EK7" s="177"/>
      <c r="EL7" s="177"/>
      <c r="EM7" s="177"/>
      <c r="EN7" s="177"/>
      <c r="EO7" s="177"/>
      <c r="EP7" s="177"/>
      <c r="EQ7" s="177"/>
      <c r="ER7" s="177"/>
      <c r="ES7" s="177"/>
      <c r="ET7" s="177"/>
      <c r="EU7" s="177"/>
      <c r="EV7" s="177"/>
      <c r="EW7" s="177"/>
      <c r="EX7" s="177"/>
      <c r="EY7" s="177"/>
      <c r="EZ7" s="177"/>
      <c r="FA7" s="177"/>
      <c r="FB7" s="177"/>
      <c r="FC7" s="177"/>
      <c r="FD7" s="177"/>
      <c r="FE7" s="177"/>
      <c r="FF7" s="177"/>
      <c r="FG7" s="177"/>
      <c r="FH7" s="177"/>
      <c r="FI7" s="177"/>
      <c r="FJ7" s="177"/>
      <c r="FK7" s="177"/>
      <c r="FL7" s="177"/>
      <c r="FM7" s="177"/>
      <c r="FN7" s="177"/>
      <c r="FO7" s="177"/>
      <c r="FP7" s="177"/>
      <c r="FQ7" s="177"/>
      <c r="FR7" s="177"/>
      <c r="FS7" s="177"/>
      <c r="FT7" s="177"/>
      <c r="FU7" s="177"/>
      <c r="FV7" s="177"/>
      <c r="FW7" s="177"/>
      <c r="FX7" s="177"/>
      <c r="FY7" s="177"/>
      <c r="FZ7" s="177"/>
      <c r="GA7" s="177"/>
      <c r="GB7" s="177"/>
      <c r="GC7" s="177"/>
      <c r="GD7" s="177"/>
      <c r="GE7" s="177"/>
      <c r="GF7" s="177"/>
      <c r="GG7" s="177"/>
      <c r="GH7" s="177"/>
      <c r="GI7" s="177"/>
      <c r="GJ7" s="177"/>
      <c r="GK7" s="177"/>
      <c r="GL7" s="177"/>
      <c r="GM7" s="177"/>
      <c r="GN7" s="177"/>
      <c r="GO7" s="177"/>
      <c r="GP7" s="177"/>
      <c r="GQ7" s="177"/>
      <c r="GR7" s="177"/>
      <c r="GS7" s="177"/>
      <c r="GT7" s="177"/>
      <c r="GU7" s="177"/>
      <c r="GV7" s="177"/>
      <c r="GW7" s="177"/>
      <c r="GX7" s="177"/>
      <c r="GY7" s="177"/>
      <c r="GZ7" s="177"/>
      <c r="HA7" s="177"/>
      <c r="HB7" s="177"/>
      <c r="HC7" s="177"/>
      <c r="HD7" s="177"/>
      <c r="HE7" s="177"/>
      <c r="HF7" s="177"/>
      <c r="HG7" s="177"/>
      <c r="HH7" s="177"/>
      <c r="HI7" s="177"/>
      <c r="HJ7" s="177"/>
      <c r="HK7" s="177"/>
      <c r="HL7" s="177"/>
      <c r="HM7" s="177"/>
      <c r="HN7" s="177"/>
      <c r="HO7" s="177"/>
      <c r="HP7" s="177"/>
      <c r="HQ7" s="177"/>
      <c r="HR7" s="177"/>
      <c r="HS7" s="177"/>
      <c r="HT7" s="177"/>
      <c r="HU7" s="177"/>
      <c r="HV7" s="177"/>
      <c r="HW7" s="177"/>
      <c r="HX7" s="177"/>
      <c r="HY7" s="177"/>
      <c r="HZ7" s="177"/>
      <c r="IA7" s="177"/>
      <c r="IB7" s="177"/>
      <c r="IC7" s="177"/>
      <c r="ID7" s="177"/>
      <c r="IE7" s="177"/>
      <c r="IF7" s="177"/>
      <c r="IG7" s="177"/>
      <c r="IH7" s="177"/>
      <c r="II7" s="177"/>
      <c r="IJ7" s="177"/>
      <c r="IK7" s="177"/>
      <c r="IL7" s="177"/>
      <c r="IM7" s="177"/>
      <c r="IN7" s="177"/>
      <c r="IO7" s="177"/>
      <c r="IP7" s="177"/>
      <c r="IQ7" s="177"/>
      <c r="IR7" s="177"/>
      <c r="IS7" s="177"/>
      <c r="IT7" s="177"/>
      <c r="IU7" s="177"/>
    </row>
    <row r="8" ht="39.95" customHeight="1" spans="1:255">
      <c r="A8" s="162" t="s">
        <v>1228</v>
      </c>
      <c r="B8" s="163" t="str">
        <f t="shared" ref="B8:I8" si="1">B9</f>
        <v>5000</v>
      </c>
      <c r="C8" s="164">
        <f t="shared" si="1"/>
        <v>2500</v>
      </c>
      <c r="D8" s="164">
        <f t="shared" si="1"/>
        <v>2500</v>
      </c>
      <c r="E8" s="164">
        <f t="shared" si="1"/>
        <v>0</v>
      </c>
      <c r="F8" s="165">
        <f t="shared" si="1"/>
        <v>7000</v>
      </c>
      <c r="G8" s="165">
        <f t="shared" si="1"/>
        <v>3500</v>
      </c>
      <c r="H8" s="165">
        <f t="shared" si="1"/>
        <v>3500</v>
      </c>
      <c r="I8" s="170">
        <f t="shared" si="1"/>
        <v>0</v>
      </c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6"/>
      <c r="CO8" s="176"/>
      <c r="CP8" s="176"/>
      <c r="CQ8" s="176"/>
      <c r="CR8" s="176"/>
      <c r="CS8" s="176"/>
      <c r="CT8" s="176"/>
      <c r="CU8" s="176"/>
      <c r="CV8" s="176"/>
      <c r="CW8" s="176"/>
      <c r="CX8" s="176"/>
      <c r="CY8" s="176"/>
      <c r="CZ8" s="176"/>
      <c r="DA8" s="176"/>
      <c r="DB8" s="176"/>
      <c r="DC8" s="176"/>
      <c r="DD8" s="176"/>
      <c r="DE8" s="176"/>
      <c r="DF8" s="176"/>
      <c r="DG8" s="176"/>
      <c r="DH8" s="176"/>
      <c r="DI8" s="176"/>
      <c r="DJ8" s="176"/>
      <c r="DK8" s="176"/>
      <c r="DL8" s="176"/>
      <c r="DM8" s="176"/>
      <c r="DN8" s="176"/>
      <c r="DO8" s="176"/>
      <c r="DP8" s="176"/>
      <c r="DQ8" s="176"/>
      <c r="DR8" s="176"/>
      <c r="DS8" s="176"/>
      <c r="DT8" s="176"/>
      <c r="DU8" s="176"/>
      <c r="DV8" s="176"/>
      <c r="DW8" s="176"/>
      <c r="DX8" s="176"/>
      <c r="DY8" s="176"/>
      <c r="DZ8" s="176"/>
      <c r="EA8" s="176"/>
      <c r="EB8" s="176"/>
      <c r="EC8" s="176"/>
      <c r="ED8" s="176"/>
      <c r="EE8" s="176"/>
      <c r="EF8" s="176"/>
      <c r="EG8" s="176"/>
      <c r="EH8" s="176"/>
      <c r="EI8" s="176"/>
      <c r="EJ8" s="176"/>
      <c r="EK8" s="176"/>
      <c r="EL8" s="176"/>
      <c r="EM8" s="176"/>
      <c r="EN8" s="176"/>
      <c r="EO8" s="176"/>
      <c r="EP8" s="176"/>
      <c r="EQ8" s="176"/>
      <c r="ER8" s="176"/>
      <c r="ES8" s="176"/>
      <c r="ET8" s="176"/>
      <c r="EU8" s="176"/>
      <c r="EV8" s="176"/>
      <c r="EW8" s="176"/>
      <c r="EX8" s="176"/>
      <c r="EY8" s="176"/>
      <c r="EZ8" s="176"/>
      <c r="FA8" s="176"/>
      <c r="FB8" s="176"/>
      <c r="FC8" s="176"/>
      <c r="FD8" s="176"/>
      <c r="FE8" s="176"/>
      <c r="FF8" s="176"/>
      <c r="FG8" s="176"/>
      <c r="FH8" s="176"/>
      <c r="FI8" s="176"/>
      <c r="FJ8" s="176"/>
      <c r="FK8" s="176"/>
      <c r="FL8" s="176"/>
      <c r="FM8" s="176"/>
      <c r="FN8" s="176"/>
      <c r="FO8" s="176"/>
      <c r="FP8" s="176"/>
      <c r="FQ8" s="176"/>
      <c r="FR8" s="176"/>
      <c r="FS8" s="176"/>
      <c r="FT8" s="176"/>
      <c r="FU8" s="176"/>
      <c r="FV8" s="176"/>
      <c r="FW8" s="176"/>
      <c r="FX8" s="176"/>
      <c r="FY8" s="176"/>
      <c r="FZ8" s="176"/>
      <c r="GA8" s="176"/>
      <c r="GB8" s="176"/>
      <c r="GC8" s="176"/>
      <c r="GD8" s="176"/>
      <c r="GE8" s="176"/>
      <c r="GF8" s="176"/>
      <c r="GG8" s="176"/>
      <c r="GH8" s="176"/>
      <c r="GI8" s="176"/>
      <c r="GJ8" s="176"/>
      <c r="GK8" s="176"/>
      <c r="GL8" s="176"/>
      <c r="GM8" s="176"/>
      <c r="GN8" s="176"/>
      <c r="GO8" s="176"/>
      <c r="GP8" s="176"/>
      <c r="GQ8" s="176"/>
      <c r="GR8" s="176"/>
      <c r="GS8" s="176"/>
      <c r="GT8" s="176"/>
      <c r="GU8" s="176"/>
      <c r="GV8" s="176"/>
      <c r="GW8" s="176"/>
      <c r="GX8" s="176"/>
      <c r="GY8" s="176"/>
      <c r="GZ8" s="176"/>
      <c r="HA8" s="176"/>
      <c r="HB8" s="176"/>
      <c r="HC8" s="176"/>
      <c r="HD8" s="176"/>
      <c r="HE8" s="176"/>
      <c r="HF8" s="176"/>
      <c r="HG8" s="176"/>
      <c r="HH8" s="176"/>
      <c r="HI8" s="176"/>
      <c r="HJ8" s="176"/>
      <c r="HK8" s="176"/>
      <c r="HL8" s="176"/>
      <c r="HM8" s="176"/>
      <c r="HN8" s="176"/>
      <c r="HO8" s="176"/>
      <c r="HP8" s="176"/>
      <c r="HQ8" s="176"/>
      <c r="HR8" s="176"/>
      <c r="HS8" s="176"/>
      <c r="HT8" s="176"/>
      <c r="HU8" s="176"/>
      <c r="HV8" s="176"/>
      <c r="HW8" s="176"/>
      <c r="HX8" s="176"/>
      <c r="HY8" s="176"/>
      <c r="HZ8" s="176"/>
      <c r="IA8" s="176"/>
      <c r="IB8" s="176"/>
      <c r="IC8" s="176"/>
      <c r="ID8" s="176"/>
      <c r="IE8" s="176"/>
      <c r="IF8" s="176"/>
      <c r="IG8" s="176"/>
      <c r="IH8" s="176"/>
      <c r="II8" s="176"/>
      <c r="IJ8" s="176"/>
      <c r="IK8" s="176"/>
      <c r="IL8" s="176"/>
      <c r="IM8" s="176"/>
      <c r="IN8" s="176"/>
      <c r="IO8" s="176"/>
      <c r="IP8" s="176"/>
      <c r="IQ8" s="176"/>
      <c r="IR8" s="176"/>
      <c r="IS8" s="176"/>
      <c r="IT8" s="176"/>
      <c r="IU8" s="176"/>
    </row>
    <row r="9" ht="39.95" customHeight="1" spans="1:255">
      <c r="A9" s="162" t="s">
        <v>1229</v>
      </c>
      <c r="B9" s="166" t="s">
        <v>1230</v>
      </c>
      <c r="C9" s="167">
        <v>2500</v>
      </c>
      <c r="D9" s="168">
        <v>2500</v>
      </c>
      <c r="E9" s="167">
        <v>0</v>
      </c>
      <c r="F9" s="169">
        <v>7000</v>
      </c>
      <c r="G9" s="170">
        <v>3500</v>
      </c>
      <c r="H9" s="169">
        <v>3500</v>
      </c>
      <c r="I9" s="170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6"/>
      <c r="CX9" s="176"/>
      <c r="CY9" s="176"/>
      <c r="CZ9" s="176"/>
      <c r="DA9" s="176"/>
      <c r="DB9" s="176"/>
      <c r="DC9" s="176"/>
      <c r="DD9" s="176"/>
      <c r="DE9" s="176"/>
      <c r="DF9" s="176"/>
      <c r="DG9" s="176"/>
      <c r="DH9" s="176"/>
      <c r="DI9" s="176"/>
      <c r="DJ9" s="176"/>
      <c r="DK9" s="176"/>
      <c r="DL9" s="176"/>
      <c r="DM9" s="176"/>
      <c r="DN9" s="176"/>
      <c r="DO9" s="176"/>
      <c r="DP9" s="176"/>
      <c r="DQ9" s="176"/>
      <c r="DR9" s="176"/>
      <c r="DS9" s="176"/>
      <c r="DT9" s="176"/>
      <c r="DU9" s="176"/>
      <c r="DV9" s="176"/>
      <c r="DW9" s="176"/>
      <c r="DX9" s="176"/>
      <c r="DY9" s="176"/>
      <c r="DZ9" s="176"/>
      <c r="EA9" s="176"/>
      <c r="EB9" s="176"/>
      <c r="EC9" s="176"/>
      <c r="ED9" s="176"/>
      <c r="EE9" s="176"/>
      <c r="EF9" s="176"/>
      <c r="EG9" s="176"/>
      <c r="EH9" s="176"/>
      <c r="EI9" s="176"/>
      <c r="EJ9" s="176"/>
      <c r="EK9" s="176"/>
      <c r="EL9" s="176"/>
      <c r="EM9" s="176"/>
      <c r="EN9" s="176"/>
      <c r="EO9" s="176"/>
      <c r="EP9" s="176"/>
      <c r="EQ9" s="176"/>
      <c r="ER9" s="176"/>
      <c r="ES9" s="176"/>
      <c r="ET9" s="176"/>
      <c r="EU9" s="176"/>
      <c r="EV9" s="176"/>
      <c r="EW9" s="176"/>
      <c r="EX9" s="176"/>
      <c r="EY9" s="176"/>
      <c r="EZ9" s="176"/>
      <c r="FA9" s="176"/>
      <c r="FB9" s="176"/>
      <c r="FC9" s="176"/>
      <c r="FD9" s="176"/>
      <c r="FE9" s="176"/>
      <c r="FF9" s="176"/>
      <c r="FG9" s="176"/>
      <c r="FH9" s="176"/>
      <c r="FI9" s="176"/>
      <c r="FJ9" s="176"/>
      <c r="FK9" s="176"/>
      <c r="FL9" s="176"/>
      <c r="FM9" s="176"/>
      <c r="FN9" s="176"/>
      <c r="FO9" s="176"/>
      <c r="FP9" s="176"/>
      <c r="FQ9" s="176"/>
      <c r="FR9" s="176"/>
      <c r="FS9" s="176"/>
      <c r="FT9" s="176"/>
      <c r="FU9" s="176"/>
      <c r="FV9" s="176"/>
      <c r="FW9" s="176"/>
      <c r="FX9" s="176"/>
      <c r="FY9" s="176"/>
      <c r="FZ9" s="176"/>
      <c r="GA9" s="176"/>
      <c r="GB9" s="176"/>
      <c r="GC9" s="176"/>
      <c r="GD9" s="176"/>
      <c r="GE9" s="176"/>
      <c r="GF9" s="176"/>
      <c r="GG9" s="176"/>
      <c r="GH9" s="176"/>
      <c r="GI9" s="176"/>
      <c r="GJ9" s="176"/>
      <c r="GK9" s="176"/>
      <c r="GL9" s="176"/>
      <c r="GM9" s="176"/>
      <c r="GN9" s="176"/>
      <c r="GO9" s="176"/>
      <c r="GP9" s="176"/>
      <c r="GQ9" s="176"/>
      <c r="GR9" s="176"/>
      <c r="GS9" s="176"/>
      <c r="GT9" s="176"/>
      <c r="GU9" s="176"/>
      <c r="GV9" s="176"/>
      <c r="GW9" s="176"/>
      <c r="GX9" s="176"/>
      <c r="GY9" s="176"/>
      <c r="GZ9" s="176"/>
      <c r="HA9" s="176"/>
      <c r="HB9" s="176"/>
      <c r="HC9" s="176"/>
      <c r="HD9" s="176"/>
      <c r="HE9" s="176"/>
      <c r="HF9" s="176"/>
      <c r="HG9" s="176"/>
      <c r="HH9" s="176"/>
      <c r="HI9" s="176"/>
      <c r="HJ9" s="176"/>
      <c r="HK9" s="176"/>
      <c r="HL9" s="176"/>
      <c r="HM9" s="176"/>
      <c r="HN9" s="176"/>
      <c r="HO9" s="176"/>
      <c r="HP9" s="176"/>
      <c r="HQ9" s="176"/>
      <c r="HR9" s="176"/>
      <c r="HS9" s="176"/>
      <c r="HT9" s="176"/>
      <c r="HU9" s="176"/>
      <c r="HV9" s="176"/>
      <c r="HW9" s="176"/>
      <c r="HX9" s="176"/>
      <c r="HY9" s="176"/>
      <c r="HZ9" s="176"/>
      <c r="IA9" s="176"/>
      <c r="IB9" s="176"/>
      <c r="IC9" s="176"/>
      <c r="ID9" s="176"/>
      <c r="IE9" s="176"/>
      <c r="IF9" s="176"/>
      <c r="IG9" s="176"/>
      <c r="IH9" s="176"/>
      <c r="II9" s="176"/>
      <c r="IJ9" s="176"/>
      <c r="IK9" s="176"/>
      <c r="IL9" s="176"/>
      <c r="IM9" s="176"/>
      <c r="IN9" s="176"/>
      <c r="IO9" s="176"/>
      <c r="IP9" s="176"/>
      <c r="IQ9" s="176"/>
      <c r="IR9" s="176"/>
      <c r="IS9" s="176"/>
      <c r="IT9" s="176"/>
      <c r="IU9" s="176"/>
    </row>
    <row r="10" ht="39.95" customHeight="1" spans="1:255">
      <c r="A10" s="158" t="s">
        <v>1205</v>
      </c>
      <c r="B10" s="161">
        <v>2000</v>
      </c>
      <c r="C10" s="160"/>
      <c r="D10" s="171"/>
      <c r="E10" s="172">
        <v>2000</v>
      </c>
      <c r="F10" s="161">
        <v>3000</v>
      </c>
      <c r="G10" s="161"/>
      <c r="H10" s="159"/>
      <c r="I10" s="161">
        <v>3000</v>
      </c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76"/>
      <c r="CI10" s="176"/>
      <c r="CJ10" s="176"/>
      <c r="CK10" s="176"/>
      <c r="CL10" s="176"/>
      <c r="CM10" s="176"/>
      <c r="CN10" s="176"/>
      <c r="CO10" s="176"/>
      <c r="CP10" s="176"/>
      <c r="CQ10" s="176"/>
      <c r="CR10" s="176"/>
      <c r="CS10" s="176"/>
      <c r="CT10" s="176"/>
      <c r="CU10" s="176"/>
      <c r="CV10" s="176"/>
      <c r="CW10" s="176"/>
      <c r="CX10" s="176"/>
      <c r="CY10" s="176"/>
      <c r="CZ10" s="176"/>
      <c r="DA10" s="176"/>
      <c r="DB10" s="176"/>
      <c r="DC10" s="176"/>
      <c r="DD10" s="176"/>
      <c r="DE10" s="176"/>
      <c r="DF10" s="176"/>
      <c r="DG10" s="176"/>
      <c r="DH10" s="176"/>
      <c r="DI10" s="176"/>
      <c r="DJ10" s="176"/>
      <c r="DK10" s="176"/>
      <c r="DL10" s="176"/>
      <c r="DM10" s="176"/>
      <c r="DN10" s="176"/>
      <c r="DO10" s="176"/>
      <c r="DP10" s="176"/>
      <c r="DQ10" s="176"/>
      <c r="DR10" s="176"/>
      <c r="DS10" s="176"/>
      <c r="DT10" s="176"/>
      <c r="DU10" s="176"/>
      <c r="DV10" s="176"/>
      <c r="DW10" s="176"/>
      <c r="DX10" s="176"/>
      <c r="DY10" s="176"/>
      <c r="DZ10" s="176"/>
      <c r="EA10" s="176"/>
      <c r="EB10" s="176"/>
      <c r="EC10" s="176"/>
      <c r="ED10" s="176"/>
      <c r="EE10" s="176"/>
      <c r="EF10" s="176"/>
      <c r="EG10" s="176"/>
      <c r="EH10" s="176"/>
      <c r="EI10" s="176"/>
      <c r="EJ10" s="176"/>
      <c r="EK10" s="176"/>
      <c r="EL10" s="176"/>
      <c r="EM10" s="176"/>
      <c r="EN10" s="176"/>
      <c r="EO10" s="176"/>
      <c r="EP10" s="176"/>
      <c r="EQ10" s="176"/>
      <c r="ER10" s="176"/>
      <c r="ES10" s="176"/>
      <c r="ET10" s="176"/>
      <c r="EU10" s="176"/>
      <c r="EV10" s="176"/>
      <c r="EW10" s="176"/>
      <c r="EX10" s="176"/>
      <c r="EY10" s="176"/>
      <c r="EZ10" s="176"/>
      <c r="FA10" s="176"/>
      <c r="FB10" s="176"/>
      <c r="FC10" s="176"/>
      <c r="FD10" s="176"/>
      <c r="FE10" s="176"/>
      <c r="FF10" s="176"/>
      <c r="FG10" s="176"/>
      <c r="FH10" s="176"/>
      <c r="FI10" s="176"/>
      <c r="FJ10" s="176"/>
      <c r="FK10" s="176"/>
      <c r="FL10" s="176"/>
      <c r="FM10" s="176"/>
      <c r="FN10" s="176"/>
      <c r="FO10" s="176"/>
      <c r="FP10" s="176"/>
      <c r="FQ10" s="176"/>
      <c r="FR10" s="176"/>
      <c r="FS10" s="176"/>
      <c r="FT10" s="176"/>
      <c r="FU10" s="176"/>
      <c r="FV10" s="176"/>
      <c r="FW10" s="176"/>
      <c r="FX10" s="176"/>
      <c r="FY10" s="176"/>
      <c r="FZ10" s="176"/>
      <c r="GA10" s="176"/>
      <c r="GB10" s="176"/>
      <c r="GC10" s="176"/>
      <c r="GD10" s="176"/>
      <c r="GE10" s="176"/>
      <c r="GF10" s="176"/>
      <c r="GG10" s="176"/>
      <c r="GH10" s="176"/>
      <c r="GI10" s="176"/>
      <c r="GJ10" s="176"/>
      <c r="GK10" s="176"/>
      <c r="GL10" s="176"/>
      <c r="GM10" s="176"/>
      <c r="GN10" s="176"/>
      <c r="GO10" s="176"/>
      <c r="GP10" s="176"/>
      <c r="GQ10" s="176"/>
      <c r="GR10" s="176"/>
      <c r="GS10" s="176"/>
      <c r="GT10" s="176"/>
      <c r="GU10" s="176"/>
      <c r="GV10" s="176"/>
      <c r="GW10" s="176"/>
      <c r="GX10" s="176"/>
      <c r="GY10" s="176"/>
      <c r="GZ10" s="176"/>
      <c r="HA10" s="176"/>
      <c r="HB10" s="176"/>
      <c r="HC10" s="176"/>
      <c r="HD10" s="176"/>
      <c r="HE10" s="176"/>
      <c r="HF10" s="176"/>
      <c r="HG10" s="176"/>
      <c r="HH10" s="176"/>
      <c r="HI10" s="176"/>
      <c r="HJ10" s="176"/>
      <c r="HK10" s="176"/>
      <c r="HL10" s="176"/>
      <c r="HM10" s="176"/>
      <c r="HN10" s="176"/>
      <c r="HO10" s="176"/>
      <c r="HP10" s="176"/>
      <c r="HQ10" s="176"/>
      <c r="HR10" s="176"/>
      <c r="HS10" s="176"/>
      <c r="HT10" s="176"/>
      <c r="HU10" s="176"/>
      <c r="HV10" s="176"/>
      <c r="HW10" s="176"/>
      <c r="HX10" s="176"/>
      <c r="HY10" s="176"/>
      <c r="HZ10" s="176"/>
      <c r="IA10" s="176"/>
      <c r="IB10" s="176"/>
      <c r="IC10" s="176"/>
      <c r="ID10" s="176"/>
      <c r="IE10" s="176"/>
      <c r="IF10" s="176"/>
      <c r="IG10" s="176"/>
      <c r="IH10" s="176"/>
      <c r="II10" s="176"/>
      <c r="IJ10" s="176"/>
      <c r="IK10" s="176"/>
      <c r="IL10" s="176"/>
      <c r="IM10" s="176"/>
      <c r="IN10" s="176"/>
      <c r="IO10" s="176"/>
      <c r="IP10" s="176"/>
      <c r="IQ10" s="176"/>
      <c r="IR10" s="176"/>
      <c r="IS10" s="176"/>
      <c r="IT10" s="176"/>
      <c r="IU10" s="176"/>
    </row>
    <row r="11" ht="39.95" customHeight="1" spans="1:255">
      <c r="A11" s="139" t="s">
        <v>1206</v>
      </c>
      <c r="B11" s="163" t="s">
        <v>1231</v>
      </c>
      <c r="C11" s="160"/>
      <c r="D11" s="164"/>
      <c r="E11" s="173">
        <v>2000</v>
      </c>
      <c r="F11" s="174">
        <v>3000</v>
      </c>
      <c r="G11" s="163"/>
      <c r="H11" s="159"/>
      <c r="I11" s="174">
        <v>3000</v>
      </c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176"/>
      <c r="BS11" s="176"/>
      <c r="BT11" s="176"/>
      <c r="BU11" s="176"/>
      <c r="BV11" s="176"/>
      <c r="BW11" s="176"/>
      <c r="BX11" s="176"/>
      <c r="BY11" s="176"/>
      <c r="BZ11" s="176"/>
      <c r="CA11" s="176"/>
      <c r="CB11" s="176"/>
      <c r="CC11" s="176"/>
      <c r="CD11" s="176"/>
      <c r="CE11" s="176"/>
      <c r="CF11" s="176"/>
      <c r="CG11" s="176"/>
      <c r="CH11" s="176"/>
      <c r="CI11" s="176"/>
      <c r="CJ11" s="176"/>
      <c r="CK11" s="176"/>
      <c r="CL11" s="176"/>
      <c r="CM11" s="176"/>
      <c r="CN11" s="176"/>
      <c r="CO11" s="176"/>
      <c r="CP11" s="176"/>
      <c r="CQ11" s="176"/>
      <c r="CR11" s="176"/>
      <c r="CS11" s="176"/>
      <c r="CT11" s="176"/>
      <c r="CU11" s="176"/>
      <c r="CV11" s="176"/>
      <c r="CW11" s="176"/>
      <c r="CX11" s="176"/>
      <c r="CY11" s="176"/>
      <c r="CZ11" s="176"/>
      <c r="DA11" s="176"/>
      <c r="DB11" s="176"/>
      <c r="DC11" s="176"/>
      <c r="DD11" s="176"/>
      <c r="DE11" s="176"/>
      <c r="DF11" s="176"/>
      <c r="DG11" s="176"/>
      <c r="DH11" s="176"/>
      <c r="DI11" s="176"/>
      <c r="DJ11" s="176"/>
      <c r="DK11" s="176"/>
      <c r="DL11" s="176"/>
      <c r="DM11" s="176"/>
      <c r="DN11" s="176"/>
      <c r="DO11" s="176"/>
      <c r="DP11" s="176"/>
      <c r="DQ11" s="176"/>
      <c r="DR11" s="176"/>
      <c r="DS11" s="176"/>
      <c r="DT11" s="176"/>
      <c r="DU11" s="176"/>
      <c r="DV11" s="176"/>
      <c r="DW11" s="176"/>
      <c r="DX11" s="176"/>
      <c r="DY11" s="176"/>
      <c r="DZ11" s="176"/>
      <c r="EA11" s="176"/>
      <c r="EB11" s="176"/>
      <c r="EC11" s="176"/>
      <c r="ED11" s="176"/>
      <c r="EE11" s="176"/>
      <c r="EF11" s="176"/>
      <c r="EG11" s="176"/>
      <c r="EH11" s="176"/>
      <c r="EI11" s="176"/>
      <c r="EJ11" s="176"/>
      <c r="EK11" s="176"/>
      <c r="EL11" s="176"/>
      <c r="EM11" s="176"/>
      <c r="EN11" s="176"/>
      <c r="EO11" s="176"/>
      <c r="EP11" s="176"/>
      <c r="EQ11" s="176"/>
      <c r="ER11" s="176"/>
      <c r="ES11" s="176"/>
      <c r="ET11" s="176"/>
      <c r="EU11" s="176"/>
      <c r="EV11" s="176"/>
      <c r="EW11" s="176"/>
      <c r="EX11" s="176"/>
      <c r="EY11" s="176"/>
      <c r="EZ11" s="176"/>
      <c r="FA11" s="176"/>
      <c r="FB11" s="176"/>
      <c r="FC11" s="176"/>
      <c r="FD11" s="176"/>
      <c r="FE11" s="176"/>
      <c r="FF11" s="176"/>
      <c r="FG11" s="176"/>
      <c r="FH11" s="176"/>
      <c r="FI11" s="176"/>
      <c r="FJ11" s="176"/>
      <c r="FK11" s="176"/>
      <c r="FL11" s="176"/>
      <c r="FM11" s="176"/>
      <c r="FN11" s="176"/>
      <c r="FO11" s="176"/>
      <c r="FP11" s="176"/>
      <c r="FQ11" s="176"/>
      <c r="FR11" s="176"/>
      <c r="FS11" s="176"/>
      <c r="FT11" s="176"/>
      <c r="FU11" s="176"/>
      <c r="FV11" s="176"/>
      <c r="FW11" s="176"/>
      <c r="FX11" s="176"/>
      <c r="FY11" s="176"/>
      <c r="FZ11" s="176"/>
      <c r="GA11" s="176"/>
      <c r="GB11" s="176"/>
      <c r="GC11" s="176"/>
      <c r="GD11" s="176"/>
      <c r="GE11" s="176"/>
      <c r="GF11" s="176"/>
      <c r="GG11" s="176"/>
      <c r="GH11" s="176"/>
      <c r="GI11" s="176"/>
      <c r="GJ11" s="176"/>
      <c r="GK11" s="176"/>
      <c r="GL11" s="176"/>
      <c r="GM11" s="176"/>
      <c r="GN11" s="176"/>
      <c r="GO11" s="176"/>
      <c r="GP11" s="176"/>
      <c r="GQ11" s="176"/>
      <c r="GR11" s="176"/>
      <c r="GS11" s="176"/>
      <c r="GT11" s="176"/>
      <c r="GU11" s="176"/>
      <c r="GV11" s="176"/>
      <c r="GW11" s="176"/>
      <c r="GX11" s="176"/>
      <c r="GY11" s="176"/>
      <c r="GZ11" s="176"/>
      <c r="HA11" s="176"/>
      <c r="HB11" s="176"/>
      <c r="HC11" s="176"/>
      <c r="HD11" s="176"/>
      <c r="HE11" s="176"/>
      <c r="HF11" s="176"/>
      <c r="HG11" s="176"/>
      <c r="HH11" s="176"/>
      <c r="HI11" s="176"/>
      <c r="HJ11" s="176"/>
      <c r="HK11" s="176"/>
      <c r="HL11" s="176"/>
      <c r="HM11" s="176"/>
      <c r="HN11" s="176"/>
      <c r="HO11" s="176"/>
      <c r="HP11" s="176"/>
      <c r="HQ11" s="176"/>
      <c r="HR11" s="176"/>
      <c r="HS11" s="176"/>
      <c r="HT11" s="176"/>
      <c r="HU11" s="176"/>
      <c r="HV11" s="176"/>
      <c r="HW11" s="176"/>
      <c r="HX11" s="176"/>
      <c r="HY11" s="176"/>
      <c r="HZ11" s="176"/>
      <c r="IA11" s="176"/>
      <c r="IB11" s="176"/>
      <c r="IC11" s="176"/>
      <c r="ID11" s="176"/>
      <c r="IE11" s="176"/>
      <c r="IF11" s="176"/>
      <c r="IG11" s="176"/>
      <c r="IH11" s="176"/>
      <c r="II11" s="176"/>
      <c r="IJ11" s="176"/>
      <c r="IK11" s="176"/>
      <c r="IL11" s="176"/>
      <c r="IM11" s="176"/>
      <c r="IN11" s="176"/>
      <c r="IO11" s="176"/>
      <c r="IP11" s="176"/>
      <c r="IQ11" s="176"/>
      <c r="IR11" s="176"/>
      <c r="IS11" s="176"/>
      <c r="IT11" s="176"/>
      <c r="IU11" s="176"/>
    </row>
    <row r="12" ht="39.95" customHeight="1" spans="1:255">
      <c r="A12" s="175" t="s">
        <v>1207</v>
      </c>
      <c r="B12" s="166" t="s">
        <v>1232</v>
      </c>
      <c r="C12" s="160"/>
      <c r="D12" s="171"/>
      <c r="E12" s="168">
        <v>2050</v>
      </c>
      <c r="F12" s="169">
        <v>3000</v>
      </c>
      <c r="G12" s="170"/>
      <c r="H12" s="159"/>
      <c r="I12" s="169">
        <v>3000</v>
      </c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/>
      <c r="BV12" s="176"/>
      <c r="BW12" s="176"/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S12" s="176"/>
      <c r="CT12" s="176"/>
      <c r="CU12" s="176"/>
      <c r="CV12" s="176"/>
      <c r="CW12" s="176"/>
      <c r="CX12" s="176"/>
      <c r="CY12" s="176"/>
      <c r="CZ12" s="176"/>
      <c r="DA12" s="176"/>
      <c r="DB12" s="176"/>
      <c r="DC12" s="176"/>
      <c r="DD12" s="176"/>
      <c r="DE12" s="176"/>
      <c r="DF12" s="176"/>
      <c r="DG12" s="176"/>
      <c r="DH12" s="176"/>
      <c r="DI12" s="176"/>
      <c r="DJ12" s="176"/>
      <c r="DK12" s="176"/>
      <c r="DL12" s="176"/>
      <c r="DM12" s="176"/>
      <c r="DN12" s="176"/>
      <c r="DO12" s="176"/>
      <c r="DP12" s="176"/>
      <c r="DQ12" s="176"/>
      <c r="DR12" s="176"/>
      <c r="DS12" s="176"/>
      <c r="DT12" s="176"/>
      <c r="DU12" s="176"/>
      <c r="DV12" s="176"/>
      <c r="DW12" s="176"/>
      <c r="DX12" s="176"/>
      <c r="DY12" s="176"/>
      <c r="DZ12" s="176"/>
      <c r="EA12" s="176"/>
      <c r="EB12" s="176"/>
      <c r="EC12" s="176"/>
      <c r="ED12" s="176"/>
      <c r="EE12" s="176"/>
      <c r="EF12" s="176"/>
      <c r="EG12" s="176"/>
      <c r="EH12" s="176"/>
      <c r="EI12" s="176"/>
      <c r="EJ12" s="176"/>
      <c r="EK12" s="176"/>
      <c r="EL12" s="176"/>
      <c r="EM12" s="176"/>
      <c r="EN12" s="176"/>
      <c r="EO12" s="176"/>
      <c r="EP12" s="176"/>
      <c r="EQ12" s="176"/>
      <c r="ER12" s="176"/>
      <c r="ES12" s="176"/>
      <c r="ET12" s="176"/>
      <c r="EU12" s="176"/>
      <c r="EV12" s="176"/>
      <c r="EW12" s="176"/>
      <c r="EX12" s="176"/>
      <c r="EY12" s="176"/>
      <c r="EZ12" s="176"/>
      <c r="FA12" s="176"/>
      <c r="FB12" s="176"/>
      <c r="FC12" s="176"/>
      <c r="FD12" s="176"/>
      <c r="FE12" s="176"/>
      <c r="FF12" s="176"/>
      <c r="FG12" s="176"/>
      <c r="FH12" s="176"/>
      <c r="FI12" s="176"/>
      <c r="FJ12" s="176"/>
      <c r="FK12" s="176"/>
      <c r="FL12" s="176"/>
      <c r="FM12" s="176"/>
      <c r="FN12" s="176"/>
      <c r="FO12" s="176"/>
      <c r="FP12" s="176"/>
      <c r="FQ12" s="176"/>
      <c r="FR12" s="176"/>
      <c r="FS12" s="176"/>
      <c r="FT12" s="176"/>
      <c r="FU12" s="176"/>
      <c r="FV12" s="176"/>
      <c r="FW12" s="176"/>
      <c r="FX12" s="176"/>
      <c r="FY12" s="176"/>
      <c r="FZ12" s="176"/>
      <c r="GA12" s="176"/>
      <c r="GB12" s="176"/>
      <c r="GC12" s="176"/>
      <c r="GD12" s="176"/>
      <c r="GE12" s="176"/>
      <c r="GF12" s="176"/>
      <c r="GG12" s="176"/>
      <c r="GH12" s="176"/>
      <c r="GI12" s="176"/>
      <c r="GJ12" s="176"/>
      <c r="GK12" s="176"/>
      <c r="GL12" s="176"/>
      <c r="GM12" s="176"/>
      <c r="GN12" s="176"/>
      <c r="GO12" s="176"/>
      <c r="GP12" s="176"/>
      <c r="GQ12" s="176"/>
      <c r="GR12" s="176"/>
      <c r="GS12" s="176"/>
      <c r="GT12" s="176"/>
      <c r="GU12" s="176"/>
      <c r="GV12" s="176"/>
      <c r="GW12" s="176"/>
      <c r="GX12" s="176"/>
      <c r="GY12" s="176"/>
      <c r="GZ12" s="176"/>
      <c r="HA12" s="176"/>
      <c r="HB12" s="176"/>
      <c r="HC12" s="176"/>
      <c r="HD12" s="176"/>
      <c r="HE12" s="176"/>
      <c r="HF12" s="176"/>
      <c r="HG12" s="176"/>
      <c r="HH12" s="176"/>
      <c r="HI12" s="176"/>
      <c r="HJ12" s="176"/>
      <c r="HK12" s="176"/>
      <c r="HL12" s="176"/>
      <c r="HM12" s="176"/>
      <c r="HN12" s="176"/>
      <c r="HO12" s="176"/>
      <c r="HP12" s="176"/>
      <c r="HQ12" s="176"/>
      <c r="HR12" s="176"/>
      <c r="HS12" s="176"/>
      <c r="HT12" s="176"/>
      <c r="HU12" s="176"/>
      <c r="HV12" s="176"/>
      <c r="HW12" s="176"/>
      <c r="HX12" s="176"/>
      <c r="HY12" s="176"/>
      <c r="HZ12" s="176"/>
      <c r="IA12" s="176"/>
      <c r="IB12" s="176"/>
      <c r="IC12" s="176"/>
      <c r="ID12" s="176"/>
      <c r="IE12" s="176"/>
      <c r="IF12" s="176"/>
      <c r="IG12" s="176"/>
      <c r="IH12" s="176"/>
      <c r="II12" s="176"/>
      <c r="IJ12" s="176"/>
      <c r="IK12" s="176"/>
      <c r="IL12" s="176"/>
      <c r="IM12" s="176"/>
      <c r="IN12" s="176"/>
      <c r="IO12" s="176"/>
      <c r="IP12" s="176"/>
      <c r="IQ12" s="176"/>
      <c r="IR12" s="176"/>
      <c r="IS12" s="176"/>
      <c r="IT12" s="176"/>
      <c r="IU12" s="176"/>
    </row>
    <row r="13" ht="39.95" customHeight="1" spans="1:255">
      <c r="A13" s="158" t="s">
        <v>1221</v>
      </c>
      <c r="B13" s="159">
        <f t="shared" ref="B13:I13" si="2">B10+B7+B6</f>
        <v>7000</v>
      </c>
      <c r="C13" s="171">
        <f t="shared" si="2"/>
        <v>2500</v>
      </c>
      <c r="D13" s="171">
        <f t="shared" si="2"/>
        <v>2500</v>
      </c>
      <c r="E13" s="171">
        <f t="shared" si="2"/>
        <v>2000</v>
      </c>
      <c r="F13" s="159">
        <f t="shared" si="2"/>
        <v>10000</v>
      </c>
      <c r="G13" s="159">
        <f t="shared" si="2"/>
        <v>3500</v>
      </c>
      <c r="H13" s="159">
        <f t="shared" si="2"/>
        <v>3500</v>
      </c>
      <c r="I13" s="159">
        <f t="shared" si="2"/>
        <v>3000</v>
      </c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177"/>
      <c r="CO13" s="177"/>
      <c r="CP13" s="177"/>
      <c r="CQ13" s="177"/>
      <c r="CR13" s="177"/>
      <c r="CS13" s="177"/>
      <c r="CT13" s="177"/>
      <c r="CU13" s="177"/>
      <c r="CV13" s="177"/>
      <c r="CW13" s="177"/>
      <c r="CX13" s="177"/>
      <c r="CY13" s="177"/>
      <c r="CZ13" s="177"/>
      <c r="DA13" s="177"/>
      <c r="DB13" s="177"/>
      <c r="DC13" s="177"/>
      <c r="DD13" s="177"/>
      <c r="DE13" s="177"/>
      <c r="DF13" s="177"/>
      <c r="DG13" s="177"/>
      <c r="DH13" s="177"/>
      <c r="DI13" s="177"/>
      <c r="DJ13" s="177"/>
      <c r="DK13" s="177"/>
      <c r="DL13" s="177"/>
      <c r="DM13" s="177"/>
      <c r="DN13" s="177"/>
      <c r="DO13" s="177"/>
      <c r="DP13" s="177"/>
      <c r="DQ13" s="177"/>
      <c r="DR13" s="177"/>
      <c r="DS13" s="177"/>
      <c r="DT13" s="177"/>
      <c r="DU13" s="177"/>
      <c r="DV13" s="177"/>
      <c r="DW13" s="177"/>
      <c r="DX13" s="177"/>
      <c r="DY13" s="177"/>
      <c r="DZ13" s="177"/>
      <c r="EA13" s="177"/>
      <c r="EB13" s="177"/>
      <c r="EC13" s="177"/>
      <c r="ED13" s="177"/>
      <c r="EE13" s="177"/>
      <c r="EF13" s="177"/>
      <c r="EG13" s="177"/>
      <c r="EH13" s="177"/>
      <c r="EI13" s="177"/>
      <c r="EJ13" s="177"/>
      <c r="EK13" s="177"/>
      <c r="EL13" s="177"/>
      <c r="EM13" s="177"/>
      <c r="EN13" s="177"/>
      <c r="EO13" s="177"/>
      <c r="EP13" s="177"/>
      <c r="EQ13" s="177"/>
      <c r="ER13" s="177"/>
      <c r="ES13" s="177"/>
      <c r="ET13" s="177"/>
      <c r="EU13" s="177"/>
      <c r="EV13" s="177"/>
      <c r="EW13" s="177"/>
      <c r="EX13" s="177"/>
      <c r="EY13" s="177"/>
      <c r="EZ13" s="177"/>
      <c r="FA13" s="177"/>
      <c r="FB13" s="177"/>
      <c r="FC13" s="177"/>
      <c r="FD13" s="177"/>
      <c r="FE13" s="177"/>
      <c r="FF13" s="177"/>
      <c r="FG13" s="177"/>
      <c r="FH13" s="177"/>
      <c r="FI13" s="177"/>
      <c r="FJ13" s="177"/>
      <c r="FK13" s="177"/>
      <c r="FL13" s="177"/>
      <c r="FM13" s="177"/>
      <c r="FN13" s="177"/>
      <c r="FO13" s="177"/>
      <c r="FP13" s="177"/>
      <c r="FQ13" s="177"/>
      <c r="FR13" s="177"/>
      <c r="FS13" s="177"/>
      <c r="FT13" s="177"/>
      <c r="FU13" s="177"/>
      <c r="FV13" s="177"/>
      <c r="FW13" s="177"/>
      <c r="FX13" s="177"/>
      <c r="FY13" s="177"/>
      <c r="FZ13" s="177"/>
      <c r="GA13" s="177"/>
      <c r="GB13" s="177"/>
      <c r="GC13" s="177"/>
      <c r="GD13" s="177"/>
      <c r="GE13" s="177"/>
      <c r="GF13" s="177"/>
      <c r="GG13" s="177"/>
      <c r="GH13" s="177"/>
      <c r="GI13" s="177"/>
      <c r="GJ13" s="177"/>
      <c r="GK13" s="177"/>
      <c r="GL13" s="177"/>
      <c r="GM13" s="177"/>
      <c r="GN13" s="177"/>
      <c r="GO13" s="177"/>
      <c r="GP13" s="177"/>
      <c r="GQ13" s="177"/>
      <c r="GR13" s="177"/>
      <c r="GS13" s="177"/>
      <c r="GT13" s="177"/>
      <c r="GU13" s="177"/>
      <c r="GV13" s="177"/>
      <c r="GW13" s="177"/>
      <c r="GX13" s="177"/>
      <c r="GY13" s="177"/>
      <c r="GZ13" s="177"/>
      <c r="HA13" s="177"/>
      <c r="HB13" s="177"/>
      <c r="HC13" s="177"/>
      <c r="HD13" s="177"/>
      <c r="HE13" s="177"/>
      <c r="HF13" s="177"/>
      <c r="HG13" s="177"/>
      <c r="HH13" s="177"/>
      <c r="HI13" s="177"/>
      <c r="HJ13" s="177"/>
      <c r="HK13" s="177"/>
      <c r="HL13" s="177"/>
      <c r="HM13" s="177"/>
      <c r="HN13" s="177"/>
      <c r="HO13" s="177"/>
      <c r="HP13" s="177"/>
      <c r="HQ13" s="177"/>
      <c r="HR13" s="177"/>
      <c r="HS13" s="177"/>
      <c r="HT13" s="177"/>
      <c r="HU13" s="177"/>
      <c r="HV13" s="177"/>
      <c r="HW13" s="177"/>
      <c r="HX13" s="177"/>
      <c r="HY13" s="177"/>
      <c r="HZ13" s="177"/>
      <c r="IA13" s="177"/>
      <c r="IB13" s="177"/>
      <c r="IC13" s="177"/>
      <c r="ID13" s="177"/>
      <c r="IE13" s="177"/>
      <c r="IF13" s="177"/>
      <c r="IG13" s="177"/>
      <c r="IH13" s="177"/>
      <c r="II13" s="177"/>
      <c r="IJ13" s="177"/>
      <c r="IK13" s="177"/>
      <c r="IL13" s="177"/>
      <c r="IM13" s="177"/>
      <c r="IN13" s="177"/>
      <c r="IO13" s="177"/>
      <c r="IP13" s="177"/>
      <c r="IQ13" s="177"/>
      <c r="IR13" s="177"/>
      <c r="IS13" s="177"/>
      <c r="IT13" s="177"/>
      <c r="IU13" s="177"/>
    </row>
  </sheetData>
  <mergeCells count="6">
    <mergeCell ref="A2:I2"/>
    <mergeCell ref="A3:B3"/>
    <mergeCell ref="H3:I3"/>
    <mergeCell ref="B4:E4"/>
    <mergeCell ref="F4:I4"/>
    <mergeCell ref="A4:A5"/>
  </mergeCells>
  <printOptions horizontalCentered="1" verticalCentered="1"/>
  <pageMargins left="0.708333333333333" right="0.708333333333333" top="0.747916666666667" bottom="0.747916666666667" header="0.314583333333333" footer="0.590277777777778"/>
  <pageSetup paperSize="9" firstPageNumber="55" orientation="landscape" useFirstPageNumber="1" horizontalDpi="600"/>
  <headerFooter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36"/>
  <sheetViews>
    <sheetView workbookViewId="0">
      <selection activeCell="A2" sqref="A2:C2"/>
    </sheetView>
  </sheetViews>
  <sheetFormatPr defaultColWidth="9" defaultRowHeight="15"/>
  <cols>
    <col min="1" max="1" width="42.375" style="110" customWidth="1"/>
    <col min="2" max="2" width="12.375" style="110" customWidth="1"/>
    <col min="3" max="3" width="21.75" style="125" customWidth="1"/>
    <col min="4" max="5" width="9.125" style="37"/>
    <col min="6" max="256" width="9.125" style="110"/>
  </cols>
  <sheetData>
    <row r="1" spans="1:1">
      <c r="A1" s="38" t="s">
        <v>949</v>
      </c>
    </row>
    <row r="2" ht="24" spans="1:3">
      <c r="A2" s="126" t="s">
        <v>1233</v>
      </c>
      <c r="B2" s="126"/>
      <c r="C2" s="126"/>
    </row>
    <row r="3" spans="1:256">
      <c r="A3" s="127"/>
      <c r="B3" s="127"/>
      <c r="C3" s="128" t="s">
        <v>36</v>
      </c>
      <c r="D3" s="129"/>
      <c r="E3" s="129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30"/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30"/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130"/>
      <c r="GJ3" s="130"/>
      <c r="GK3" s="130"/>
      <c r="GL3" s="130"/>
      <c r="GM3" s="130"/>
      <c r="GN3" s="130"/>
      <c r="GO3" s="130"/>
      <c r="GP3" s="130"/>
      <c r="GQ3" s="130"/>
      <c r="GR3" s="130"/>
      <c r="GS3" s="130"/>
      <c r="GT3" s="130"/>
      <c r="GU3" s="130"/>
      <c r="GV3" s="130"/>
      <c r="GW3" s="130"/>
      <c r="GX3" s="130"/>
      <c r="GY3" s="130"/>
      <c r="GZ3" s="130"/>
      <c r="HA3" s="130"/>
      <c r="HB3" s="130"/>
      <c r="HC3" s="130"/>
      <c r="HD3" s="130"/>
      <c r="HE3" s="130"/>
      <c r="HF3" s="130"/>
      <c r="HG3" s="130"/>
      <c r="HH3" s="130"/>
      <c r="HI3" s="130"/>
      <c r="HJ3" s="130"/>
      <c r="HK3" s="130"/>
      <c r="HL3" s="130"/>
      <c r="HM3" s="130"/>
      <c r="HN3" s="130"/>
      <c r="HO3" s="130"/>
      <c r="HP3" s="130"/>
      <c r="HQ3" s="130"/>
      <c r="HR3" s="130"/>
      <c r="HS3" s="130"/>
      <c r="HT3" s="130"/>
      <c r="HU3" s="130"/>
      <c r="HV3" s="130"/>
      <c r="HW3" s="130"/>
      <c r="HX3" s="130"/>
      <c r="HY3" s="130"/>
      <c r="HZ3" s="130"/>
      <c r="IA3" s="130"/>
      <c r="IB3" s="130"/>
      <c r="IC3" s="130"/>
      <c r="ID3" s="130"/>
      <c r="IE3" s="130"/>
      <c r="IF3" s="130"/>
      <c r="IG3" s="130"/>
      <c r="IH3" s="130"/>
      <c r="II3" s="130"/>
      <c r="IJ3" s="130"/>
      <c r="IK3" s="130"/>
      <c r="IL3" s="130"/>
      <c r="IM3" s="130"/>
      <c r="IN3" s="130"/>
      <c r="IO3" s="130"/>
      <c r="IP3" s="130"/>
      <c r="IQ3" s="130"/>
      <c r="IR3" s="130"/>
      <c r="IS3" s="130"/>
      <c r="IT3" s="130"/>
      <c r="IU3" s="130"/>
      <c r="IV3" s="130"/>
    </row>
    <row r="4" ht="18.95" customHeight="1" spans="1:256">
      <c r="A4" s="131" t="s">
        <v>1234</v>
      </c>
      <c r="B4" s="131" t="s">
        <v>1235</v>
      </c>
      <c r="C4" s="131" t="s">
        <v>1236</v>
      </c>
      <c r="D4" s="129"/>
      <c r="E4" s="129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0"/>
      <c r="EP4" s="130"/>
      <c r="EQ4" s="130"/>
      <c r="ER4" s="130"/>
      <c r="ES4" s="130"/>
      <c r="ET4" s="130"/>
      <c r="EU4" s="130"/>
      <c r="EV4" s="130"/>
      <c r="EW4" s="130"/>
      <c r="EX4" s="130"/>
      <c r="EY4" s="130"/>
      <c r="EZ4" s="130"/>
      <c r="FA4" s="130"/>
      <c r="FB4" s="130"/>
      <c r="FC4" s="130"/>
      <c r="FD4" s="130"/>
      <c r="FE4" s="130"/>
      <c r="FF4" s="130"/>
      <c r="FG4" s="130"/>
      <c r="FH4" s="130"/>
      <c r="FI4" s="130"/>
      <c r="FJ4" s="130"/>
      <c r="FK4" s="130"/>
      <c r="FL4" s="130"/>
      <c r="FM4" s="130"/>
      <c r="FN4" s="130"/>
      <c r="FO4" s="130"/>
      <c r="FP4" s="130"/>
      <c r="FQ4" s="130"/>
      <c r="FR4" s="130"/>
      <c r="FS4" s="130"/>
      <c r="FT4" s="130"/>
      <c r="FU4" s="130"/>
      <c r="FV4" s="130"/>
      <c r="FW4" s="130"/>
      <c r="FX4" s="130"/>
      <c r="FY4" s="130"/>
      <c r="FZ4" s="130"/>
      <c r="GA4" s="130"/>
      <c r="GB4" s="130"/>
      <c r="GC4" s="130"/>
      <c r="GD4" s="130"/>
      <c r="GE4" s="130"/>
      <c r="GF4" s="130"/>
      <c r="GG4" s="130"/>
      <c r="GH4" s="130"/>
      <c r="GI4" s="130"/>
      <c r="GJ4" s="130"/>
      <c r="GK4" s="130"/>
      <c r="GL4" s="130"/>
      <c r="GM4" s="130"/>
      <c r="GN4" s="130"/>
      <c r="GO4" s="130"/>
      <c r="GP4" s="130"/>
      <c r="GQ4" s="130"/>
      <c r="GR4" s="130"/>
      <c r="GS4" s="130"/>
      <c r="GT4" s="130"/>
      <c r="GU4" s="130"/>
      <c r="GV4" s="130"/>
      <c r="GW4" s="130"/>
      <c r="GX4" s="130"/>
      <c r="GY4" s="130"/>
      <c r="GZ4" s="130"/>
      <c r="HA4" s="130"/>
      <c r="HB4" s="130"/>
      <c r="HC4" s="130"/>
      <c r="HD4" s="130"/>
      <c r="HE4" s="130"/>
      <c r="HF4" s="130"/>
      <c r="HG4" s="130"/>
      <c r="HH4" s="130"/>
      <c r="HI4" s="130"/>
      <c r="HJ4" s="130"/>
      <c r="HK4" s="130"/>
      <c r="HL4" s="130"/>
      <c r="HM4" s="130"/>
      <c r="HN4" s="130"/>
      <c r="HO4" s="130"/>
      <c r="HP4" s="130"/>
      <c r="HQ4" s="130"/>
      <c r="HR4" s="130"/>
      <c r="HS4" s="130"/>
      <c r="HT4" s="130"/>
      <c r="HU4" s="130"/>
      <c r="HV4" s="130"/>
      <c r="HW4" s="130"/>
      <c r="HX4" s="130"/>
      <c r="HY4" s="130"/>
      <c r="HZ4" s="130"/>
      <c r="IA4" s="130"/>
      <c r="IB4" s="130"/>
      <c r="IC4" s="130"/>
      <c r="ID4" s="130"/>
      <c r="IE4" s="130"/>
      <c r="IF4" s="130"/>
      <c r="IG4" s="130"/>
      <c r="IH4" s="130"/>
      <c r="II4" s="130"/>
      <c r="IJ4" s="130"/>
      <c r="IK4" s="130"/>
      <c r="IL4" s="130"/>
      <c r="IM4" s="130"/>
      <c r="IN4" s="130"/>
      <c r="IO4" s="130"/>
      <c r="IP4" s="130"/>
      <c r="IQ4" s="130"/>
      <c r="IR4" s="130"/>
      <c r="IS4" s="130"/>
      <c r="IT4" s="130"/>
      <c r="IU4" s="130"/>
      <c r="IV4" s="130"/>
    </row>
    <row r="5" ht="18.95" customHeight="1" spans="1:256">
      <c r="A5" s="132" t="s">
        <v>1237</v>
      </c>
      <c r="B5" s="133">
        <v>1</v>
      </c>
      <c r="C5" s="133" t="s">
        <v>1238</v>
      </c>
      <c r="D5" s="129"/>
      <c r="E5" s="129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0"/>
      <c r="EM5" s="130"/>
      <c r="EN5" s="130"/>
      <c r="EO5" s="130"/>
      <c r="EP5" s="130"/>
      <c r="EQ5" s="130"/>
      <c r="ER5" s="130"/>
      <c r="ES5" s="130"/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130"/>
      <c r="FF5" s="130"/>
      <c r="FG5" s="130"/>
      <c r="FH5" s="130"/>
      <c r="FI5" s="130"/>
      <c r="FJ5" s="130"/>
      <c r="FK5" s="130"/>
      <c r="FL5" s="130"/>
      <c r="FM5" s="130"/>
      <c r="FN5" s="130"/>
      <c r="FO5" s="130"/>
      <c r="FP5" s="130"/>
      <c r="FQ5" s="130"/>
      <c r="FR5" s="130"/>
      <c r="FS5" s="130"/>
      <c r="FT5" s="130"/>
      <c r="FU5" s="130"/>
      <c r="FV5" s="130"/>
      <c r="FW5" s="130"/>
      <c r="FX5" s="130"/>
      <c r="FY5" s="130"/>
      <c r="FZ5" s="130"/>
      <c r="GA5" s="130"/>
      <c r="GB5" s="130"/>
      <c r="GC5" s="130"/>
      <c r="GD5" s="130"/>
      <c r="GE5" s="130"/>
      <c r="GF5" s="130"/>
      <c r="GG5" s="130"/>
      <c r="GH5" s="130"/>
      <c r="GI5" s="130"/>
      <c r="GJ5" s="130"/>
      <c r="GK5" s="130"/>
      <c r="GL5" s="130"/>
      <c r="GM5" s="130"/>
      <c r="GN5" s="130"/>
      <c r="GO5" s="130"/>
      <c r="GP5" s="130"/>
      <c r="GQ5" s="130"/>
      <c r="GR5" s="130"/>
      <c r="GS5" s="130"/>
      <c r="GT5" s="130"/>
      <c r="GU5" s="130"/>
      <c r="GV5" s="130"/>
      <c r="GW5" s="130"/>
      <c r="GX5" s="130"/>
      <c r="GY5" s="130"/>
      <c r="GZ5" s="130"/>
      <c r="HA5" s="130"/>
      <c r="HB5" s="130"/>
      <c r="HC5" s="130"/>
      <c r="HD5" s="130"/>
      <c r="HE5" s="130"/>
      <c r="HF5" s="130"/>
      <c r="HG5" s="130"/>
      <c r="HH5" s="130"/>
      <c r="HI5" s="130"/>
      <c r="HJ5" s="130"/>
      <c r="HK5" s="130"/>
      <c r="HL5" s="130"/>
      <c r="HM5" s="130"/>
      <c r="HN5" s="130"/>
      <c r="HO5" s="130"/>
      <c r="HP5" s="130"/>
      <c r="HQ5" s="130"/>
      <c r="HR5" s="130"/>
      <c r="HS5" s="130"/>
      <c r="HT5" s="130"/>
      <c r="HU5" s="130"/>
      <c r="HV5" s="130"/>
      <c r="HW5" s="130"/>
      <c r="HX5" s="130"/>
      <c r="HY5" s="130"/>
      <c r="HZ5" s="130"/>
      <c r="IA5" s="130"/>
      <c r="IB5" s="130"/>
      <c r="IC5" s="130"/>
      <c r="ID5" s="130"/>
      <c r="IE5" s="130"/>
      <c r="IF5" s="130"/>
      <c r="IG5" s="130"/>
      <c r="IH5" s="130"/>
      <c r="II5" s="130"/>
      <c r="IJ5" s="130"/>
      <c r="IK5" s="130"/>
      <c r="IL5" s="130"/>
      <c r="IM5" s="130"/>
      <c r="IN5" s="130"/>
      <c r="IO5" s="130"/>
      <c r="IP5" s="130"/>
      <c r="IQ5" s="130"/>
      <c r="IR5" s="130"/>
      <c r="IS5" s="130"/>
      <c r="IT5" s="130"/>
      <c r="IU5" s="130"/>
      <c r="IV5" s="130"/>
    </row>
    <row r="6" ht="18.95" customHeight="1" spans="1:256">
      <c r="A6" s="134" t="s">
        <v>1239</v>
      </c>
      <c r="B6" s="135">
        <v>2</v>
      </c>
      <c r="C6" s="136">
        <v>1</v>
      </c>
      <c r="D6" s="129"/>
      <c r="E6" s="129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130"/>
      <c r="GZ6" s="130"/>
      <c r="HA6" s="130"/>
      <c r="HB6" s="130"/>
      <c r="HC6" s="130"/>
      <c r="HD6" s="130"/>
      <c r="HE6" s="130"/>
      <c r="HF6" s="130"/>
      <c r="HG6" s="130"/>
      <c r="HH6" s="130"/>
      <c r="HI6" s="130"/>
      <c r="HJ6" s="130"/>
      <c r="HK6" s="130"/>
      <c r="HL6" s="130"/>
      <c r="HM6" s="130"/>
      <c r="HN6" s="130"/>
      <c r="HO6" s="130"/>
      <c r="HP6" s="130"/>
      <c r="HQ6" s="130"/>
      <c r="HR6" s="130"/>
      <c r="HS6" s="130"/>
      <c r="HT6" s="130"/>
      <c r="HU6" s="130"/>
      <c r="HV6" s="130"/>
      <c r="HW6" s="130"/>
      <c r="HX6" s="130"/>
      <c r="HY6" s="130"/>
      <c r="HZ6" s="130"/>
      <c r="IA6" s="130"/>
      <c r="IB6" s="130"/>
      <c r="IC6" s="130"/>
      <c r="ID6" s="130"/>
      <c r="IE6" s="130"/>
      <c r="IF6" s="130"/>
      <c r="IG6" s="130"/>
      <c r="IH6" s="130"/>
      <c r="II6" s="130"/>
      <c r="IJ6" s="130"/>
      <c r="IK6" s="130"/>
      <c r="IL6" s="130"/>
      <c r="IM6" s="130"/>
      <c r="IN6" s="130"/>
      <c r="IO6" s="130"/>
      <c r="IP6" s="130"/>
      <c r="IQ6" s="130"/>
      <c r="IR6" s="130"/>
      <c r="IS6" s="130"/>
      <c r="IT6" s="130"/>
      <c r="IU6" s="130"/>
      <c r="IV6" s="130"/>
    </row>
    <row r="7" ht="18.95" customHeight="1" spans="1:256">
      <c r="A7" s="137" t="s">
        <v>1240</v>
      </c>
      <c r="B7" s="135">
        <v>3</v>
      </c>
      <c r="C7" s="136">
        <v>76</v>
      </c>
      <c r="D7" s="129"/>
      <c r="E7" s="129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0"/>
      <c r="EG7" s="130"/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0"/>
      <c r="FZ7" s="130"/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  <c r="GY7" s="130"/>
      <c r="GZ7" s="130"/>
      <c r="HA7" s="130"/>
      <c r="HB7" s="130"/>
      <c r="HC7" s="130"/>
      <c r="HD7" s="130"/>
      <c r="HE7" s="130"/>
      <c r="HF7" s="130"/>
      <c r="HG7" s="130"/>
      <c r="HH7" s="130"/>
      <c r="HI7" s="130"/>
      <c r="HJ7" s="130"/>
      <c r="HK7" s="130"/>
      <c r="HL7" s="130"/>
      <c r="HM7" s="130"/>
      <c r="HN7" s="130"/>
      <c r="HO7" s="130"/>
      <c r="HP7" s="130"/>
      <c r="HQ7" s="130"/>
      <c r="HR7" s="130"/>
      <c r="HS7" s="130"/>
      <c r="HT7" s="130"/>
      <c r="HU7" s="130"/>
      <c r="HV7" s="130"/>
      <c r="HW7" s="130"/>
      <c r="HX7" s="130"/>
      <c r="HY7" s="130"/>
      <c r="HZ7" s="130"/>
      <c r="IA7" s="130"/>
      <c r="IB7" s="130"/>
      <c r="IC7" s="130"/>
      <c r="ID7" s="130"/>
      <c r="IE7" s="130"/>
      <c r="IF7" s="130"/>
      <c r="IG7" s="130"/>
      <c r="IH7" s="130"/>
      <c r="II7" s="130"/>
      <c r="IJ7" s="130"/>
      <c r="IK7" s="130"/>
      <c r="IL7" s="130"/>
      <c r="IM7" s="130"/>
      <c r="IN7" s="130"/>
      <c r="IO7" s="130"/>
      <c r="IP7" s="130"/>
      <c r="IQ7" s="130"/>
      <c r="IR7" s="130"/>
      <c r="IS7" s="130"/>
      <c r="IT7" s="130"/>
      <c r="IU7" s="130"/>
      <c r="IV7" s="130"/>
    </row>
    <row r="8" ht="18.95" customHeight="1" spans="1:256">
      <c r="A8" s="137" t="s">
        <v>1241</v>
      </c>
      <c r="B8" s="135">
        <v>4</v>
      </c>
      <c r="C8" s="136">
        <v>76</v>
      </c>
      <c r="D8" s="129"/>
      <c r="E8" s="129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0"/>
      <c r="FG8" s="130"/>
      <c r="FH8" s="130"/>
      <c r="FI8" s="130"/>
      <c r="FJ8" s="130"/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0"/>
      <c r="FX8" s="130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0"/>
      <c r="GO8" s="130"/>
      <c r="GP8" s="130"/>
      <c r="GQ8" s="130"/>
      <c r="GR8" s="130"/>
      <c r="GS8" s="130"/>
      <c r="GT8" s="130"/>
      <c r="GU8" s="130"/>
      <c r="GV8" s="130"/>
      <c r="GW8" s="130"/>
      <c r="GX8" s="130"/>
      <c r="GY8" s="130"/>
      <c r="GZ8" s="130"/>
      <c r="HA8" s="130"/>
      <c r="HB8" s="130"/>
      <c r="HC8" s="130"/>
      <c r="HD8" s="130"/>
      <c r="HE8" s="130"/>
      <c r="HF8" s="130"/>
      <c r="HG8" s="130"/>
      <c r="HH8" s="130"/>
      <c r="HI8" s="130"/>
      <c r="HJ8" s="130"/>
      <c r="HK8" s="130"/>
      <c r="HL8" s="130"/>
      <c r="HM8" s="130"/>
      <c r="HN8" s="130"/>
      <c r="HO8" s="130"/>
      <c r="HP8" s="130"/>
      <c r="HQ8" s="130"/>
      <c r="HR8" s="130"/>
      <c r="HS8" s="130"/>
      <c r="HT8" s="130"/>
      <c r="HU8" s="130"/>
      <c r="HV8" s="130"/>
      <c r="HW8" s="130"/>
      <c r="HX8" s="130"/>
      <c r="HY8" s="130"/>
      <c r="HZ8" s="130"/>
      <c r="IA8" s="130"/>
      <c r="IB8" s="130"/>
      <c r="IC8" s="130"/>
      <c r="ID8" s="130"/>
      <c r="IE8" s="130"/>
      <c r="IF8" s="130"/>
      <c r="IG8" s="130"/>
      <c r="IH8" s="130"/>
      <c r="II8" s="130"/>
      <c r="IJ8" s="130"/>
      <c r="IK8" s="130"/>
      <c r="IL8" s="130"/>
      <c r="IM8" s="130"/>
      <c r="IN8" s="130"/>
      <c r="IO8" s="130"/>
      <c r="IP8" s="130"/>
      <c r="IQ8" s="130"/>
      <c r="IR8" s="130"/>
      <c r="IS8" s="130"/>
      <c r="IT8" s="130"/>
      <c r="IU8" s="130"/>
      <c r="IV8" s="130"/>
    </row>
    <row r="9" ht="18.95" customHeight="1" spans="1:256">
      <c r="A9" s="134" t="s">
        <v>1242</v>
      </c>
      <c r="B9" s="135">
        <v>5</v>
      </c>
      <c r="C9" s="136" t="s">
        <v>1243</v>
      </c>
      <c r="D9" s="129"/>
      <c r="E9" s="129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  <c r="FU9" s="130"/>
      <c r="FV9" s="130"/>
      <c r="FW9" s="130"/>
      <c r="FX9" s="130"/>
      <c r="FY9" s="130"/>
      <c r="FZ9" s="130"/>
      <c r="GA9" s="130"/>
      <c r="GB9" s="130"/>
      <c r="GC9" s="130"/>
      <c r="GD9" s="130"/>
      <c r="GE9" s="130"/>
      <c r="GF9" s="130"/>
      <c r="GG9" s="130"/>
      <c r="GH9" s="130"/>
      <c r="GI9" s="130"/>
      <c r="GJ9" s="130"/>
      <c r="GK9" s="130"/>
      <c r="GL9" s="130"/>
      <c r="GM9" s="130"/>
      <c r="GN9" s="130"/>
      <c r="GO9" s="130"/>
      <c r="GP9" s="130"/>
      <c r="GQ9" s="130"/>
      <c r="GR9" s="130"/>
      <c r="GS9" s="130"/>
      <c r="GT9" s="130"/>
      <c r="GU9" s="130"/>
      <c r="GV9" s="130"/>
      <c r="GW9" s="130"/>
      <c r="GX9" s="130"/>
      <c r="GY9" s="130"/>
      <c r="GZ9" s="130"/>
      <c r="HA9" s="130"/>
      <c r="HB9" s="130"/>
      <c r="HC9" s="130"/>
      <c r="HD9" s="130"/>
      <c r="HE9" s="130"/>
      <c r="HF9" s="130"/>
      <c r="HG9" s="130"/>
      <c r="HH9" s="130"/>
      <c r="HI9" s="130"/>
      <c r="HJ9" s="130"/>
      <c r="HK9" s="130"/>
      <c r="HL9" s="130"/>
      <c r="HM9" s="130"/>
      <c r="HN9" s="130"/>
      <c r="HO9" s="130"/>
      <c r="HP9" s="130"/>
      <c r="HQ9" s="130"/>
      <c r="HR9" s="130"/>
      <c r="HS9" s="130"/>
      <c r="HT9" s="130"/>
      <c r="HU9" s="130"/>
      <c r="HV9" s="130"/>
      <c r="HW9" s="130"/>
      <c r="HX9" s="130"/>
      <c r="HY9" s="130"/>
      <c r="HZ9" s="130"/>
      <c r="IA9" s="130"/>
      <c r="IB9" s="130"/>
      <c r="IC9" s="130"/>
      <c r="ID9" s="130"/>
      <c r="IE9" s="130"/>
      <c r="IF9" s="130"/>
      <c r="IG9" s="130"/>
      <c r="IH9" s="130"/>
      <c r="II9" s="130"/>
      <c r="IJ9" s="130"/>
      <c r="IK9" s="130"/>
      <c r="IL9" s="130"/>
      <c r="IM9" s="130"/>
      <c r="IN9" s="130"/>
      <c r="IO9" s="130"/>
      <c r="IP9" s="130"/>
      <c r="IQ9" s="130"/>
      <c r="IR9" s="130"/>
      <c r="IS9" s="130"/>
      <c r="IT9" s="130"/>
      <c r="IU9" s="130"/>
      <c r="IV9" s="130"/>
    </row>
    <row r="10" ht="18.95" customHeight="1" spans="1:256">
      <c r="A10" s="134" t="s">
        <v>1244</v>
      </c>
      <c r="B10" s="135">
        <v>6</v>
      </c>
      <c r="C10" s="136" t="s">
        <v>1243</v>
      </c>
      <c r="D10" s="129"/>
      <c r="E10" s="129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  <c r="FU10" s="130"/>
      <c r="FV10" s="130"/>
      <c r="FW10" s="130"/>
      <c r="FX10" s="130"/>
      <c r="FY10" s="130"/>
      <c r="FZ10" s="130"/>
      <c r="GA10" s="130"/>
      <c r="GB10" s="130"/>
      <c r="GC10" s="130"/>
      <c r="GD10" s="130"/>
      <c r="GE10" s="130"/>
      <c r="GF10" s="130"/>
      <c r="GG10" s="130"/>
      <c r="GH10" s="130"/>
      <c r="GI10" s="130"/>
      <c r="GJ10" s="130"/>
      <c r="GK10" s="130"/>
      <c r="GL10" s="130"/>
      <c r="GM10" s="130"/>
      <c r="GN10" s="130"/>
      <c r="GO10" s="130"/>
      <c r="GP10" s="130"/>
      <c r="GQ10" s="130"/>
      <c r="GR10" s="130"/>
      <c r="GS10" s="130"/>
      <c r="GT10" s="130"/>
      <c r="GU10" s="130"/>
      <c r="GV10" s="130"/>
      <c r="GW10" s="130"/>
      <c r="GX10" s="130"/>
      <c r="GY10" s="130"/>
      <c r="GZ10" s="130"/>
      <c r="HA10" s="130"/>
      <c r="HB10" s="130"/>
      <c r="HC10" s="130"/>
      <c r="HD10" s="130"/>
      <c r="HE10" s="130"/>
      <c r="HF10" s="130"/>
      <c r="HG10" s="130"/>
      <c r="HH10" s="130"/>
      <c r="HI10" s="130"/>
      <c r="HJ10" s="130"/>
      <c r="HK10" s="130"/>
      <c r="HL10" s="130"/>
      <c r="HM10" s="130"/>
      <c r="HN10" s="130"/>
      <c r="HO10" s="130"/>
      <c r="HP10" s="130"/>
      <c r="HQ10" s="130"/>
      <c r="HR10" s="130"/>
      <c r="HS10" s="130"/>
      <c r="HT10" s="130"/>
      <c r="HU10" s="130"/>
      <c r="HV10" s="130"/>
      <c r="HW10" s="130"/>
      <c r="HX10" s="130"/>
      <c r="HY10" s="130"/>
      <c r="HZ10" s="130"/>
      <c r="IA10" s="130"/>
      <c r="IB10" s="130"/>
      <c r="IC10" s="130"/>
      <c r="ID10" s="130"/>
      <c r="IE10" s="130"/>
      <c r="IF10" s="130"/>
      <c r="IG10" s="130"/>
      <c r="IH10" s="130"/>
      <c r="II10" s="130"/>
      <c r="IJ10" s="130"/>
      <c r="IK10" s="130"/>
      <c r="IL10" s="130"/>
      <c r="IM10" s="130"/>
      <c r="IN10" s="130"/>
      <c r="IO10" s="130"/>
      <c r="IP10" s="130"/>
      <c r="IQ10" s="130"/>
      <c r="IR10" s="130"/>
      <c r="IS10" s="130"/>
      <c r="IT10" s="130"/>
      <c r="IU10" s="130"/>
      <c r="IV10" s="130"/>
    </row>
    <row r="11" ht="18.95" customHeight="1" spans="1:256">
      <c r="A11" s="134" t="s">
        <v>1245</v>
      </c>
      <c r="B11" s="135">
        <v>7</v>
      </c>
      <c r="C11" s="136" t="s">
        <v>1246</v>
      </c>
      <c r="D11" s="129"/>
      <c r="E11" s="129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0"/>
      <c r="FZ11" s="130"/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  <c r="HD11" s="130"/>
      <c r="HE11" s="130"/>
      <c r="HF11" s="130"/>
      <c r="HG11" s="130"/>
      <c r="HH11" s="130"/>
      <c r="HI11" s="130"/>
      <c r="HJ11" s="130"/>
      <c r="HK11" s="130"/>
      <c r="HL11" s="130"/>
      <c r="HM11" s="130"/>
      <c r="HN11" s="130"/>
      <c r="HO11" s="130"/>
      <c r="HP11" s="130"/>
      <c r="HQ11" s="130"/>
      <c r="HR11" s="130"/>
      <c r="HS11" s="130"/>
      <c r="HT11" s="130"/>
      <c r="HU11" s="130"/>
      <c r="HV11" s="130"/>
      <c r="HW11" s="130"/>
      <c r="HX11" s="130"/>
      <c r="HY11" s="130"/>
      <c r="HZ11" s="130"/>
      <c r="IA11" s="130"/>
      <c r="IB11" s="130"/>
      <c r="IC11" s="130"/>
      <c r="ID11" s="130"/>
      <c r="IE11" s="130"/>
      <c r="IF11" s="130"/>
      <c r="IG11" s="130"/>
      <c r="IH11" s="130"/>
      <c r="II11" s="130"/>
      <c r="IJ11" s="130"/>
      <c r="IK11" s="130"/>
      <c r="IL11" s="130"/>
      <c r="IM11" s="130"/>
      <c r="IN11" s="130"/>
      <c r="IO11" s="130"/>
      <c r="IP11" s="130"/>
      <c r="IQ11" s="130"/>
      <c r="IR11" s="130"/>
      <c r="IS11" s="130"/>
      <c r="IT11" s="130"/>
      <c r="IU11" s="130"/>
      <c r="IV11" s="130"/>
    </row>
    <row r="12" ht="18.95" customHeight="1" spans="1:256">
      <c r="A12" s="134" t="s">
        <v>1247</v>
      </c>
      <c r="B12" s="135">
        <v>8</v>
      </c>
      <c r="C12" s="136" t="s">
        <v>1243</v>
      </c>
      <c r="D12" s="129"/>
      <c r="E12" s="129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0"/>
      <c r="FX12" s="130"/>
      <c r="FY12" s="130"/>
      <c r="FZ12" s="130"/>
      <c r="GA12" s="130"/>
      <c r="GB12" s="130"/>
      <c r="GC12" s="130"/>
      <c r="GD12" s="130"/>
      <c r="GE12" s="130"/>
      <c r="GF12" s="130"/>
      <c r="GG12" s="130"/>
      <c r="GH12" s="130"/>
      <c r="GI12" s="130"/>
      <c r="GJ12" s="130"/>
      <c r="GK12" s="130"/>
      <c r="GL12" s="130"/>
      <c r="GM12" s="130"/>
      <c r="GN12" s="130"/>
      <c r="GO12" s="130"/>
      <c r="GP12" s="130"/>
      <c r="GQ12" s="130"/>
      <c r="GR12" s="130"/>
      <c r="GS12" s="130"/>
      <c r="GT12" s="130"/>
      <c r="GU12" s="130"/>
      <c r="GV12" s="130"/>
      <c r="GW12" s="130"/>
      <c r="GX12" s="130"/>
      <c r="GY12" s="130"/>
      <c r="GZ12" s="130"/>
      <c r="HA12" s="130"/>
      <c r="HB12" s="130"/>
      <c r="HC12" s="130"/>
      <c r="HD12" s="130"/>
      <c r="HE12" s="130"/>
      <c r="HF12" s="130"/>
      <c r="HG12" s="130"/>
      <c r="HH12" s="130"/>
      <c r="HI12" s="130"/>
      <c r="HJ12" s="130"/>
      <c r="HK12" s="130"/>
      <c r="HL12" s="130"/>
      <c r="HM12" s="130"/>
      <c r="HN12" s="130"/>
      <c r="HO12" s="130"/>
      <c r="HP12" s="130"/>
      <c r="HQ12" s="130"/>
      <c r="HR12" s="130"/>
      <c r="HS12" s="130"/>
      <c r="HT12" s="130"/>
      <c r="HU12" s="130"/>
      <c r="HV12" s="130"/>
      <c r="HW12" s="130"/>
      <c r="HX12" s="130"/>
      <c r="HY12" s="130"/>
      <c r="HZ12" s="130"/>
      <c r="IA12" s="130"/>
      <c r="IB12" s="130"/>
      <c r="IC12" s="130"/>
      <c r="ID12" s="130"/>
      <c r="IE12" s="130"/>
      <c r="IF12" s="130"/>
      <c r="IG12" s="130"/>
      <c r="IH12" s="130"/>
      <c r="II12" s="130"/>
      <c r="IJ12" s="130"/>
      <c r="IK12" s="130"/>
      <c r="IL12" s="130"/>
      <c r="IM12" s="130"/>
      <c r="IN12" s="130"/>
      <c r="IO12" s="130"/>
      <c r="IP12" s="130"/>
      <c r="IQ12" s="130"/>
      <c r="IR12" s="130"/>
      <c r="IS12" s="130"/>
      <c r="IT12" s="130"/>
      <c r="IU12" s="130"/>
      <c r="IV12" s="130"/>
    </row>
    <row r="13" ht="18.95" customHeight="1" spans="1:256">
      <c r="A13" s="132" t="s">
        <v>1248</v>
      </c>
      <c r="B13" s="133">
        <v>9</v>
      </c>
      <c r="C13" s="138" t="s">
        <v>1238</v>
      </c>
      <c r="D13" s="129"/>
      <c r="E13" s="129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  <c r="FU13" s="130"/>
      <c r="FV13" s="130"/>
      <c r="FW13" s="130"/>
      <c r="FX13" s="130"/>
      <c r="FY13" s="130"/>
      <c r="FZ13" s="130"/>
      <c r="GA13" s="130"/>
      <c r="GB13" s="130"/>
      <c r="GC13" s="130"/>
      <c r="GD13" s="130"/>
      <c r="GE13" s="130"/>
      <c r="GF13" s="130"/>
      <c r="GG13" s="130"/>
      <c r="GH13" s="130"/>
      <c r="GI13" s="130"/>
      <c r="GJ13" s="130"/>
      <c r="GK13" s="130"/>
      <c r="GL13" s="130"/>
      <c r="GM13" s="130"/>
      <c r="GN13" s="130"/>
      <c r="GO13" s="130"/>
      <c r="GP13" s="130"/>
      <c r="GQ13" s="130"/>
      <c r="GR13" s="130"/>
      <c r="GS13" s="130"/>
      <c r="GT13" s="130"/>
      <c r="GU13" s="130"/>
      <c r="GV13" s="130"/>
      <c r="GW13" s="130"/>
      <c r="GX13" s="130"/>
      <c r="GY13" s="130"/>
      <c r="GZ13" s="130"/>
      <c r="HA13" s="130"/>
      <c r="HB13" s="130"/>
      <c r="HC13" s="130"/>
      <c r="HD13" s="130"/>
      <c r="HE13" s="130"/>
      <c r="HF13" s="130"/>
      <c r="HG13" s="130"/>
      <c r="HH13" s="130"/>
      <c r="HI13" s="130"/>
      <c r="HJ13" s="130"/>
      <c r="HK13" s="130"/>
      <c r="HL13" s="130"/>
      <c r="HM13" s="130"/>
      <c r="HN13" s="130"/>
      <c r="HO13" s="130"/>
      <c r="HP13" s="130"/>
      <c r="HQ13" s="130"/>
      <c r="HR13" s="130"/>
      <c r="HS13" s="130"/>
      <c r="HT13" s="130"/>
      <c r="HU13" s="130"/>
      <c r="HV13" s="130"/>
      <c r="HW13" s="130"/>
      <c r="HX13" s="130"/>
      <c r="HY13" s="130"/>
      <c r="HZ13" s="130"/>
      <c r="IA13" s="130"/>
      <c r="IB13" s="130"/>
      <c r="IC13" s="130"/>
      <c r="ID13" s="130"/>
      <c r="IE13" s="130"/>
      <c r="IF13" s="130"/>
      <c r="IG13" s="130"/>
      <c r="IH13" s="130"/>
      <c r="II13" s="130"/>
      <c r="IJ13" s="130"/>
      <c r="IK13" s="130"/>
      <c r="IL13" s="130"/>
      <c r="IM13" s="130"/>
      <c r="IN13" s="130"/>
      <c r="IO13" s="130"/>
      <c r="IP13" s="130"/>
      <c r="IQ13" s="130"/>
      <c r="IR13" s="130"/>
      <c r="IS13" s="130"/>
      <c r="IT13" s="130"/>
      <c r="IU13" s="130"/>
      <c r="IV13" s="130"/>
    </row>
    <row r="14" ht="18.95" customHeight="1" spans="1:256">
      <c r="A14" s="139" t="s">
        <v>1249</v>
      </c>
      <c r="B14" s="131">
        <v>10</v>
      </c>
      <c r="C14" s="138" t="s">
        <v>1238</v>
      </c>
      <c r="D14" s="129"/>
      <c r="E14" s="12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  <c r="FL14" s="130"/>
      <c r="FM14" s="130"/>
      <c r="FN14" s="130"/>
      <c r="FO14" s="130"/>
      <c r="FP14" s="130"/>
      <c r="FQ14" s="130"/>
      <c r="FR14" s="130"/>
      <c r="FS14" s="130"/>
      <c r="FT14" s="130"/>
      <c r="FU14" s="130"/>
      <c r="FV14" s="130"/>
      <c r="FW14" s="130"/>
      <c r="FX14" s="130"/>
      <c r="FY14" s="130"/>
      <c r="FZ14" s="130"/>
      <c r="GA14" s="130"/>
      <c r="GB14" s="130"/>
      <c r="GC14" s="130"/>
      <c r="GD14" s="130"/>
      <c r="GE14" s="130"/>
      <c r="GF14" s="130"/>
      <c r="GG14" s="130"/>
      <c r="GH14" s="130"/>
      <c r="GI14" s="130"/>
      <c r="GJ14" s="130"/>
      <c r="GK14" s="130"/>
      <c r="GL14" s="130"/>
      <c r="GM14" s="130"/>
      <c r="GN14" s="130"/>
      <c r="GO14" s="130"/>
      <c r="GP14" s="130"/>
      <c r="GQ14" s="130"/>
      <c r="GR14" s="130"/>
      <c r="GS14" s="130"/>
      <c r="GT14" s="130"/>
      <c r="GU14" s="130"/>
      <c r="GV14" s="130"/>
      <c r="GW14" s="130"/>
      <c r="GX14" s="130"/>
      <c r="GY14" s="130"/>
      <c r="GZ14" s="130"/>
      <c r="HA14" s="130"/>
      <c r="HB14" s="130"/>
      <c r="HC14" s="130"/>
      <c r="HD14" s="130"/>
      <c r="HE14" s="130"/>
      <c r="HF14" s="130"/>
      <c r="HG14" s="130"/>
      <c r="HH14" s="130"/>
      <c r="HI14" s="130"/>
      <c r="HJ14" s="130"/>
      <c r="HK14" s="130"/>
      <c r="HL14" s="130"/>
      <c r="HM14" s="130"/>
      <c r="HN14" s="130"/>
      <c r="HO14" s="130"/>
      <c r="HP14" s="130"/>
      <c r="HQ14" s="130"/>
      <c r="HR14" s="130"/>
      <c r="HS14" s="130"/>
      <c r="HT14" s="130"/>
      <c r="HU14" s="130"/>
      <c r="HV14" s="130"/>
      <c r="HW14" s="130"/>
      <c r="HX14" s="130"/>
      <c r="HY14" s="130"/>
      <c r="HZ14" s="130"/>
      <c r="IA14" s="130"/>
      <c r="IB14" s="130"/>
      <c r="IC14" s="130"/>
      <c r="ID14" s="130"/>
      <c r="IE14" s="130"/>
      <c r="IF14" s="130"/>
      <c r="IG14" s="130"/>
      <c r="IH14" s="130"/>
      <c r="II14" s="130"/>
      <c r="IJ14" s="130"/>
      <c r="IK14" s="130"/>
      <c r="IL14" s="130"/>
      <c r="IM14" s="130"/>
      <c r="IN14" s="130"/>
      <c r="IO14" s="130"/>
      <c r="IP14" s="130"/>
      <c r="IQ14" s="130"/>
      <c r="IR14" s="130"/>
      <c r="IS14" s="130"/>
      <c r="IT14" s="130"/>
      <c r="IU14" s="130"/>
      <c r="IV14" s="130"/>
    </row>
    <row r="15" ht="18.95" customHeight="1" spans="1:256">
      <c r="A15" s="134" t="s">
        <v>1250</v>
      </c>
      <c r="B15" s="135">
        <v>11</v>
      </c>
      <c r="C15" s="140">
        <v>7514245.8</v>
      </c>
      <c r="D15" s="129"/>
      <c r="E15" s="129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  <c r="FU15" s="130"/>
      <c r="FV15" s="130"/>
      <c r="FW15" s="130"/>
      <c r="FX15" s="130"/>
      <c r="FY15" s="130"/>
      <c r="FZ15" s="130"/>
      <c r="GA15" s="130"/>
      <c r="GB15" s="130"/>
      <c r="GC15" s="130"/>
      <c r="GD15" s="130"/>
      <c r="GE15" s="130"/>
      <c r="GF15" s="130"/>
      <c r="GG15" s="130"/>
      <c r="GH15" s="130"/>
      <c r="GI15" s="130"/>
      <c r="GJ15" s="130"/>
      <c r="GK15" s="130"/>
      <c r="GL15" s="130"/>
      <c r="GM15" s="130"/>
      <c r="GN15" s="130"/>
      <c r="GO15" s="130"/>
      <c r="GP15" s="130"/>
      <c r="GQ15" s="130"/>
      <c r="GR15" s="130"/>
      <c r="GS15" s="130"/>
      <c r="GT15" s="130"/>
      <c r="GU15" s="130"/>
      <c r="GV15" s="130"/>
      <c r="GW15" s="130"/>
      <c r="GX15" s="130"/>
      <c r="GY15" s="130"/>
      <c r="GZ15" s="130"/>
      <c r="HA15" s="130"/>
      <c r="HB15" s="130"/>
      <c r="HC15" s="130"/>
      <c r="HD15" s="130"/>
      <c r="HE15" s="130"/>
      <c r="HF15" s="130"/>
      <c r="HG15" s="130"/>
      <c r="HH15" s="130"/>
      <c r="HI15" s="130"/>
      <c r="HJ15" s="130"/>
      <c r="HK15" s="130"/>
      <c r="HL15" s="130"/>
      <c r="HM15" s="130"/>
      <c r="HN15" s="130"/>
      <c r="HO15" s="130"/>
      <c r="HP15" s="130"/>
      <c r="HQ15" s="130"/>
      <c r="HR15" s="130"/>
      <c r="HS15" s="130"/>
      <c r="HT15" s="130"/>
      <c r="HU15" s="130"/>
      <c r="HV15" s="130"/>
      <c r="HW15" s="130"/>
      <c r="HX15" s="130"/>
      <c r="HY15" s="130"/>
      <c r="HZ15" s="130"/>
      <c r="IA15" s="130"/>
      <c r="IB15" s="130"/>
      <c r="IC15" s="130"/>
      <c r="ID15" s="130"/>
      <c r="IE15" s="130"/>
      <c r="IF15" s="130"/>
      <c r="IG15" s="130"/>
      <c r="IH15" s="130"/>
      <c r="II15" s="130"/>
      <c r="IJ15" s="130"/>
      <c r="IK15" s="130"/>
      <c r="IL15" s="130"/>
      <c r="IM15" s="130"/>
      <c r="IN15" s="130"/>
      <c r="IO15" s="130"/>
      <c r="IP15" s="130"/>
      <c r="IQ15" s="130"/>
      <c r="IR15" s="130"/>
      <c r="IS15" s="130"/>
      <c r="IT15" s="130"/>
      <c r="IU15" s="130"/>
      <c r="IV15" s="130"/>
    </row>
    <row r="16" ht="18.95" customHeight="1" spans="1:256">
      <c r="A16" s="134" t="s">
        <v>1251</v>
      </c>
      <c r="B16" s="135">
        <v>12</v>
      </c>
      <c r="C16" s="140">
        <v>4511390.8</v>
      </c>
      <c r="D16" s="129"/>
      <c r="E16" s="129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  <c r="FF16" s="130"/>
      <c r="FG16" s="130"/>
      <c r="FH16" s="130"/>
      <c r="FI16" s="130"/>
      <c r="FJ16" s="130"/>
      <c r="FK16" s="130"/>
      <c r="FL16" s="130"/>
      <c r="FM16" s="130"/>
      <c r="FN16" s="130"/>
      <c r="FO16" s="130"/>
      <c r="FP16" s="130"/>
      <c r="FQ16" s="130"/>
      <c r="FR16" s="130"/>
      <c r="FS16" s="130"/>
      <c r="FT16" s="130"/>
      <c r="FU16" s="130"/>
      <c r="FV16" s="130"/>
      <c r="FW16" s="130"/>
      <c r="FX16" s="130"/>
      <c r="FY16" s="130"/>
      <c r="FZ16" s="130"/>
      <c r="GA16" s="130"/>
      <c r="GB16" s="130"/>
      <c r="GC16" s="130"/>
      <c r="GD16" s="130"/>
      <c r="GE16" s="130"/>
      <c r="GF16" s="130"/>
      <c r="GG16" s="130"/>
      <c r="GH16" s="130"/>
      <c r="GI16" s="130"/>
      <c r="GJ16" s="130"/>
      <c r="GK16" s="130"/>
      <c r="GL16" s="130"/>
      <c r="GM16" s="130"/>
      <c r="GN16" s="130"/>
      <c r="GO16" s="130"/>
      <c r="GP16" s="130"/>
      <c r="GQ16" s="130"/>
      <c r="GR16" s="130"/>
      <c r="GS16" s="130"/>
      <c r="GT16" s="130"/>
      <c r="GU16" s="130"/>
      <c r="GV16" s="130"/>
      <c r="GW16" s="130"/>
      <c r="GX16" s="130"/>
      <c r="GY16" s="130"/>
      <c r="GZ16" s="130"/>
      <c r="HA16" s="130"/>
      <c r="HB16" s="130"/>
      <c r="HC16" s="130"/>
      <c r="HD16" s="130"/>
      <c r="HE16" s="130"/>
      <c r="HF16" s="130"/>
      <c r="HG16" s="130"/>
      <c r="HH16" s="130"/>
      <c r="HI16" s="130"/>
      <c r="HJ16" s="130"/>
      <c r="HK16" s="130"/>
      <c r="HL16" s="130"/>
      <c r="HM16" s="130"/>
      <c r="HN16" s="130"/>
      <c r="HO16" s="130"/>
      <c r="HP16" s="130"/>
      <c r="HQ16" s="130"/>
      <c r="HR16" s="130"/>
      <c r="HS16" s="130"/>
      <c r="HT16" s="130"/>
      <c r="HU16" s="130"/>
      <c r="HV16" s="130"/>
      <c r="HW16" s="130"/>
      <c r="HX16" s="130"/>
      <c r="HY16" s="130"/>
      <c r="HZ16" s="130"/>
      <c r="IA16" s="130"/>
      <c r="IB16" s="130"/>
      <c r="IC16" s="130"/>
      <c r="ID16" s="130"/>
      <c r="IE16" s="130"/>
      <c r="IF16" s="130"/>
      <c r="IG16" s="130"/>
      <c r="IH16" s="130"/>
      <c r="II16" s="130"/>
      <c r="IJ16" s="130"/>
      <c r="IK16" s="130"/>
      <c r="IL16" s="130"/>
      <c r="IM16" s="130"/>
      <c r="IN16" s="130"/>
      <c r="IO16" s="130"/>
      <c r="IP16" s="130"/>
      <c r="IQ16" s="130"/>
      <c r="IR16" s="130"/>
      <c r="IS16" s="130"/>
      <c r="IT16" s="130"/>
      <c r="IU16" s="130"/>
      <c r="IV16" s="130"/>
    </row>
    <row r="17" ht="18.95" customHeight="1" spans="1:256">
      <c r="A17" s="134" t="s">
        <v>1252</v>
      </c>
      <c r="B17" s="135">
        <v>13</v>
      </c>
      <c r="C17" s="140">
        <v>3002855</v>
      </c>
      <c r="D17" s="129"/>
      <c r="E17" s="129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  <c r="FK17" s="130"/>
      <c r="FL17" s="130"/>
      <c r="FM17" s="130"/>
      <c r="FN17" s="130"/>
      <c r="FO17" s="130"/>
      <c r="FP17" s="130"/>
      <c r="FQ17" s="130"/>
      <c r="FR17" s="130"/>
      <c r="FS17" s="130"/>
      <c r="FT17" s="130"/>
      <c r="FU17" s="130"/>
      <c r="FV17" s="130"/>
      <c r="FW17" s="130"/>
      <c r="FX17" s="130"/>
      <c r="FY17" s="130"/>
      <c r="FZ17" s="130"/>
      <c r="GA17" s="130"/>
      <c r="GB17" s="130"/>
      <c r="GC17" s="130"/>
      <c r="GD17" s="130"/>
      <c r="GE17" s="130"/>
      <c r="GF17" s="130"/>
      <c r="GG17" s="130"/>
      <c r="GH17" s="130"/>
      <c r="GI17" s="130"/>
      <c r="GJ17" s="130"/>
      <c r="GK17" s="130"/>
      <c r="GL17" s="130"/>
      <c r="GM17" s="130"/>
      <c r="GN17" s="130"/>
      <c r="GO17" s="130"/>
      <c r="GP17" s="130"/>
      <c r="GQ17" s="130"/>
      <c r="GR17" s="130"/>
      <c r="GS17" s="130"/>
      <c r="GT17" s="130"/>
      <c r="GU17" s="130"/>
      <c r="GV17" s="130"/>
      <c r="GW17" s="130"/>
      <c r="GX17" s="130"/>
      <c r="GY17" s="130"/>
      <c r="GZ17" s="130"/>
      <c r="HA17" s="130"/>
      <c r="HB17" s="130"/>
      <c r="HC17" s="130"/>
      <c r="HD17" s="130"/>
      <c r="HE17" s="130"/>
      <c r="HF17" s="130"/>
      <c r="HG17" s="130"/>
      <c r="HH17" s="130"/>
      <c r="HI17" s="130"/>
      <c r="HJ17" s="130"/>
      <c r="HK17" s="130"/>
      <c r="HL17" s="130"/>
      <c r="HM17" s="130"/>
      <c r="HN17" s="130"/>
      <c r="HO17" s="130"/>
      <c r="HP17" s="130"/>
      <c r="HQ17" s="130"/>
      <c r="HR17" s="130"/>
      <c r="HS17" s="130"/>
      <c r="HT17" s="130"/>
      <c r="HU17" s="130"/>
      <c r="HV17" s="130"/>
      <c r="HW17" s="130"/>
      <c r="HX17" s="130"/>
      <c r="HY17" s="130"/>
      <c r="HZ17" s="130"/>
      <c r="IA17" s="130"/>
      <c r="IB17" s="130"/>
      <c r="IC17" s="130"/>
      <c r="ID17" s="130"/>
      <c r="IE17" s="130"/>
      <c r="IF17" s="130"/>
      <c r="IG17" s="130"/>
      <c r="IH17" s="130"/>
      <c r="II17" s="130"/>
      <c r="IJ17" s="130"/>
      <c r="IK17" s="130"/>
      <c r="IL17" s="130"/>
      <c r="IM17" s="130"/>
      <c r="IN17" s="130"/>
      <c r="IO17" s="130"/>
      <c r="IP17" s="130"/>
      <c r="IQ17" s="130"/>
      <c r="IR17" s="130"/>
      <c r="IS17" s="130"/>
      <c r="IT17" s="130"/>
      <c r="IU17" s="130"/>
      <c r="IV17" s="130"/>
    </row>
    <row r="18" ht="18.95" customHeight="1" spans="1:256">
      <c r="A18" s="134" t="s">
        <v>1253</v>
      </c>
      <c r="B18" s="135">
        <v>14</v>
      </c>
      <c r="C18" s="140">
        <v>55359.01</v>
      </c>
      <c r="D18" s="129"/>
      <c r="E18" s="129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  <c r="FU18" s="130"/>
      <c r="FV18" s="130"/>
      <c r="FW18" s="130"/>
      <c r="FX18" s="130"/>
      <c r="FY18" s="130"/>
      <c r="FZ18" s="130"/>
      <c r="GA18" s="130"/>
      <c r="GB18" s="130"/>
      <c r="GC18" s="130"/>
      <c r="GD18" s="130"/>
      <c r="GE18" s="130"/>
      <c r="GF18" s="130"/>
      <c r="GG18" s="130"/>
      <c r="GH18" s="130"/>
      <c r="GI18" s="130"/>
      <c r="GJ18" s="130"/>
      <c r="GK18" s="130"/>
      <c r="GL18" s="130"/>
      <c r="GM18" s="130"/>
      <c r="GN18" s="130"/>
      <c r="GO18" s="130"/>
      <c r="GP18" s="130"/>
      <c r="GQ18" s="130"/>
      <c r="GR18" s="130"/>
      <c r="GS18" s="130"/>
      <c r="GT18" s="130"/>
      <c r="GU18" s="130"/>
      <c r="GV18" s="130"/>
      <c r="GW18" s="130"/>
      <c r="GX18" s="130"/>
      <c r="GY18" s="130"/>
      <c r="GZ18" s="130"/>
      <c r="HA18" s="130"/>
      <c r="HB18" s="130"/>
      <c r="HC18" s="130"/>
      <c r="HD18" s="130"/>
      <c r="HE18" s="130"/>
      <c r="HF18" s="130"/>
      <c r="HG18" s="130"/>
      <c r="HH18" s="130"/>
      <c r="HI18" s="130"/>
      <c r="HJ18" s="130"/>
      <c r="HK18" s="130"/>
      <c r="HL18" s="130"/>
      <c r="HM18" s="130"/>
      <c r="HN18" s="130"/>
      <c r="HO18" s="130"/>
      <c r="HP18" s="130"/>
      <c r="HQ18" s="130"/>
      <c r="HR18" s="130"/>
      <c r="HS18" s="130"/>
      <c r="HT18" s="130"/>
      <c r="HU18" s="130"/>
      <c r="HV18" s="130"/>
      <c r="HW18" s="130"/>
      <c r="HX18" s="130"/>
      <c r="HY18" s="130"/>
      <c r="HZ18" s="130"/>
      <c r="IA18" s="130"/>
      <c r="IB18" s="130"/>
      <c r="IC18" s="130"/>
      <c r="ID18" s="130"/>
      <c r="IE18" s="130"/>
      <c r="IF18" s="130"/>
      <c r="IG18" s="130"/>
      <c r="IH18" s="130"/>
      <c r="II18" s="130"/>
      <c r="IJ18" s="130"/>
      <c r="IK18" s="130"/>
      <c r="IL18" s="130"/>
      <c r="IM18" s="130"/>
      <c r="IN18" s="130"/>
      <c r="IO18" s="130"/>
      <c r="IP18" s="130"/>
      <c r="IQ18" s="130"/>
      <c r="IR18" s="130"/>
      <c r="IS18" s="130"/>
      <c r="IT18" s="130"/>
      <c r="IU18" s="130"/>
      <c r="IV18" s="130"/>
    </row>
    <row r="19" ht="18.95" customHeight="1" spans="1:256">
      <c r="A19" s="134" t="s">
        <v>1254</v>
      </c>
      <c r="B19" s="135">
        <v>15</v>
      </c>
      <c r="C19" s="140">
        <v>54382.25</v>
      </c>
      <c r="D19" s="129"/>
      <c r="E19" s="129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130"/>
      <c r="FF19" s="130"/>
      <c r="FG19" s="130"/>
      <c r="FH19" s="130"/>
      <c r="FI19" s="130"/>
      <c r="FJ19" s="130"/>
      <c r="FK19" s="130"/>
      <c r="FL19" s="130"/>
      <c r="FM19" s="130"/>
      <c r="FN19" s="130"/>
      <c r="FO19" s="130"/>
      <c r="FP19" s="130"/>
      <c r="FQ19" s="130"/>
      <c r="FR19" s="130"/>
      <c r="FS19" s="130"/>
      <c r="FT19" s="130"/>
      <c r="FU19" s="130"/>
      <c r="FV19" s="130"/>
      <c r="FW19" s="130"/>
      <c r="FX19" s="130"/>
      <c r="FY19" s="130"/>
      <c r="FZ19" s="130"/>
      <c r="GA19" s="130"/>
      <c r="GB19" s="130"/>
      <c r="GC19" s="130"/>
      <c r="GD19" s="130"/>
      <c r="GE19" s="130"/>
      <c r="GF19" s="130"/>
      <c r="GG19" s="130"/>
      <c r="GH19" s="130"/>
      <c r="GI19" s="130"/>
      <c r="GJ19" s="130"/>
      <c r="GK19" s="130"/>
      <c r="GL19" s="130"/>
      <c r="GM19" s="130"/>
      <c r="GN19" s="130"/>
      <c r="GO19" s="130"/>
      <c r="GP19" s="130"/>
      <c r="GQ19" s="130"/>
      <c r="GR19" s="130"/>
      <c r="GS19" s="130"/>
      <c r="GT19" s="130"/>
      <c r="GU19" s="130"/>
      <c r="GV19" s="130"/>
      <c r="GW19" s="130"/>
      <c r="GX19" s="130"/>
      <c r="GY19" s="130"/>
      <c r="GZ19" s="130"/>
      <c r="HA19" s="130"/>
      <c r="HB19" s="130"/>
      <c r="HC19" s="130"/>
      <c r="HD19" s="130"/>
      <c r="HE19" s="130"/>
      <c r="HF19" s="130"/>
      <c r="HG19" s="130"/>
      <c r="HH19" s="130"/>
      <c r="HI19" s="130"/>
      <c r="HJ19" s="130"/>
      <c r="HK19" s="130"/>
      <c r="HL19" s="130"/>
      <c r="HM19" s="130"/>
      <c r="HN19" s="130"/>
      <c r="HO19" s="130"/>
      <c r="HP19" s="130"/>
      <c r="HQ19" s="130"/>
      <c r="HR19" s="130"/>
      <c r="HS19" s="130"/>
      <c r="HT19" s="130"/>
      <c r="HU19" s="130"/>
      <c r="HV19" s="130"/>
      <c r="HW19" s="130"/>
      <c r="HX19" s="130"/>
      <c r="HY19" s="130"/>
      <c r="HZ19" s="130"/>
      <c r="IA19" s="130"/>
      <c r="IB19" s="130"/>
      <c r="IC19" s="130"/>
      <c r="ID19" s="130"/>
      <c r="IE19" s="130"/>
      <c r="IF19" s="130"/>
      <c r="IG19" s="130"/>
      <c r="IH19" s="130"/>
      <c r="II19" s="130"/>
      <c r="IJ19" s="130"/>
      <c r="IK19" s="130"/>
      <c r="IL19" s="130"/>
      <c r="IM19" s="130"/>
      <c r="IN19" s="130"/>
      <c r="IO19" s="130"/>
      <c r="IP19" s="130"/>
      <c r="IQ19" s="130"/>
      <c r="IR19" s="130"/>
      <c r="IS19" s="130"/>
      <c r="IT19" s="130"/>
      <c r="IU19" s="130"/>
      <c r="IV19" s="130"/>
    </row>
    <row r="20" ht="18.95" customHeight="1" spans="1:256">
      <c r="A20" s="134" t="s">
        <v>1255</v>
      </c>
      <c r="B20" s="135">
        <v>16</v>
      </c>
      <c r="C20" s="140">
        <v>51357.99</v>
      </c>
      <c r="D20" s="141"/>
      <c r="E20" s="129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0"/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30"/>
      <c r="EF20" s="130"/>
      <c r="EG20" s="130"/>
      <c r="EH20" s="130"/>
      <c r="EI20" s="130"/>
      <c r="EJ20" s="130"/>
      <c r="EK20" s="130"/>
      <c r="EL20" s="130"/>
      <c r="EM20" s="130"/>
      <c r="EN20" s="130"/>
      <c r="EO20" s="130"/>
      <c r="EP20" s="130"/>
      <c r="EQ20" s="130"/>
      <c r="ER20" s="130"/>
      <c r="ES20" s="130"/>
      <c r="ET20" s="130"/>
      <c r="EU20" s="130"/>
      <c r="EV20" s="130"/>
      <c r="EW20" s="130"/>
      <c r="EX20" s="130"/>
      <c r="EY20" s="130"/>
      <c r="EZ20" s="130"/>
      <c r="FA20" s="130"/>
      <c r="FB20" s="130"/>
      <c r="FC20" s="130"/>
      <c r="FD20" s="130"/>
      <c r="FE20" s="130"/>
      <c r="FF20" s="130"/>
      <c r="FG20" s="130"/>
      <c r="FH20" s="130"/>
      <c r="FI20" s="130"/>
      <c r="FJ20" s="130"/>
      <c r="FK20" s="130"/>
      <c r="FL20" s="130"/>
      <c r="FM20" s="130"/>
      <c r="FN20" s="130"/>
      <c r="FO20" s="130"/>
      <c r="FP20" s="130"/>
      <c r="FQ20" s="130"/>
      <c r="FR20" s="130"/>
      <c r="FS20" s="130"/>
      <c r="FT20" s="130"/>
      <c r="FU20" s="130"/>
      <c r="FV20" s="130"/>
      <c r="FW20" s="130"/>
      <c r="FX20" s="130"/>
      <c r="FY20" s="130"/>
      <c r="FZ20" s="130"/>
      <c r="GA20" s="130"/>
      <c r="GB20" s="130"/>
      <c r="GC20" s="130"/>
      <c r="GD20" s="130"/>
      <c r="GE20" s="130"/>
      <c r="GF20" s="130"/>
      <c r="GG20" s="130"/>
      <c r="GH20" s="130"/>
      <c r="GI20" s="130"/>
      <c r="GJ20" s="130"/>
      <c r="GK20" s="130"/>
      <c r="GL20" s="130"/>
      <c r="GM20" s="130"/>
      <c r="GN20" s="130"/>
      <c r="GO20" s="130"/>
      <c r="GP20" s="130"/>
      <c r="GQ20" s="130"/>
      <c r="GR20" s="130"/>
      <c r="GS20" s="130"/>
      <c r="GT20" s="130"/>
      <c r="GU20" s="130"/>
      <c r="GV20" s="130"/>
      <c r="GW20" s="130"/>
      <c r="GX20" s="130"/>
      <c r="GY20" s="130"/>
      <c r="GZ20" s="130"/>
      <c r="HA20" s="130"/>
      <c r="HB20" s="130"/>
      <c r="HC20" s="130"/>
      <c r="HD20" s="130"/>
      <c r="HE20" s="130"/>
      <c r="HF20" s="130"/>
      <c r="HG20" s="130"/>
      <c r="HH20" s="130"/>
      <c r="HI20" s="130"/>
      <c r="HJ20" s="130"/>
      <c r="HK20" s="130"/>
      <c r="HL20" s="130"/>
      <c r="HM20" s="130"/>
      <c r="HN20" s="130"/>
      <c r="HO20" s="130"/>
      <c r="HP20" s="130"/>
      <c r="HQ20" s="130"/>
      <c r="HR20" s="130"/>
      <c r="HS20" s="130"/>
      <c r="HT20" s="130"/>
      <c r="HU20" s="130"/>
      <c r="HV20" s="130"/>
      <c r="HW20" s="130"/>
      <c r="HX20" s="130"/>
      <c r="HY20" s="130"/>
      <c r="HZ20" s="130"/>
      <c r="IA20" s="130"/>
      <c r="IB20" s="130"/>
      <c r="IC20" s="130"/>
      <c r="ID20" s="130"/>
      <c r="IE20" s="130"/>
      <c r="IF20" s="130"/>
      <c r="IG20" s="130"/>
      <c r="IH20" s="130"/>
      <c r="II20" s="130"/>
      <c r="IJ20" s="130"/>
      <c r="IK20" s="130"/>
      <c r="IL20" s="130"/>
      <c r="IM20" s="130"/>
      <c r="IN20" s="130"/>
      <c r="IO20" s="130"/>
      <c r="IP20" s="130"/>
      <c r="IQ20" s="130"/>
      <c r="IR20" s="130"/>
      <c r="IS20" s="130"/>
      <c r="IT20" s="130"/>
      <c r="IU20" s="130"/>
      <c r="IV20" s="130"/>
    </row>
    <row r="21" ht="18.95" customHeight="1" spans="1:256">
      <c r="A21" s="139" t="s">
        <v>1256</v>
      </c>
      <c r="B21" s="131">
        <v>17</v>
      </c>
      <c r="C21" s="136" t="s">
        <v>1238</v>
      </c>
      <c r="D21" s="129"/>
      <c r="E21" s="129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130"/>
      <c r="FF21" s="130"/>
      <c r="FG21" s="130"/>
      <c r="FH21" s="130"/>
      <c r="FI21" s="130"/>
      <c r="FJ21" s="130"/>
      <c r="FK21" s="130"/>
      <c r="FL21" s="130"/>
      <c r="FM21" s="130"/>
      <c r="FN21" s="130"/>
      <c r="FO21" s="130"/>
      <c r="FP21" s="130"/>
      <c r="FQ21" s="130"/>
      <c r="FR21" s="130"/>
      <c r="FS21" s="130"/>
      <c r="FT21" s="130"/>
      <c r="FU21" s="130"/>
      <c r="FV21" s="130"/>
      <c r="FW21" s="130"/>
      <c r="FX21" s="130"/>
      <c r="FY21" s="130"/>
      <c r="FZ21" s="130"/>
      <c r="GA21" s="130"/>
      <c r="GB21" s="130"/>
      <c r="GC21" s="130"/>
      <c r="GD21" s="130"/>
      <c r="GE21" s="130"/>
      <c r="GF21" s="130"/>
      <c r="GG21" s="130"/>
      <c r="GH21" s="130"/>
      <c r="GI21" s="130"/>
      <c r="GJ21" s="130"/>
      <c r="GK21" s="130"/>
      <c r="GL21" s="130"/>
      <c r="GM21" s="130"/>
      <c r="GN21" s="130"/>
      <c r="GO21" s="130"/>
      <c r="GP21" s="130"/>
      <c r="GQ21" s="130"/>
      <c r="GR21" s="130"/>
      <c r="GS21" s="130"/>
      <c r="GT21" s="130"/>
      <c r="GU21" s="130"/>
      <c r="GV21" s="130"/>
      <c r="GW21" s="130"/>
      <c r="GX21" s="130"/>
      <c r="GY21" s="130"/>
      <c r="GZ21" s="130"/>
      <c r="HA21" s="130"/>
      <c r="HB21" s="130"/>
      <c r="HC21" s="130"/>
      <c r="HD21" s="130"/>
      <c r="HE21" s="130"/>
      <c r="HF21" s="130"/>
      <c r="HG21" s="130"/>
      <c r="HH21" s="130"/>
      <c r="HI21" s="130"/>
      <c r="HJ21" s="130"/>
      <c r="HK21" s="130"/>
      <c r="HL21" s="130"/>
      <c r="HM21" s="130"/>
      <c r="HN21" s="130"/>
      <c r="HO21" s="130"/>
      <c r="HP21" s="130"/>
      <c r="HQ21" s="130"/>
      <c r="HR21" s="130"/>
      <c r="HS21" s="130"/>
      <c r="HT21" s="130"/>
      <c r="HU21" s="130"/>
      <c r="HV21" s="130"/>
      <c r="HW21" s="130"/>
      <c r="HX21" s="130"/>
      <c r="HY21" s="130"/>
      <c r="HZ21" s="130"/>
      <c r="IA21" s="130"/>
      <c r="IB21" s="130"/>
      <c r="IC21" s="130"/>
      <c r="ID21" s="130"/>
      <c r="IE21" s="130"/>
      <c r="IF21" s="130"/>
      <c r="IG21" s="130"/>
      <c r="IH21" s="130"/>
      <c r="II21" s="130"/>
      <c r="IJ21" s="130"/>
      <c r="IK21" s="130"/>
      <c r="IL21" s="130"/>
      <c r="IM21" s="130"/>
      <c r="IN21" s="130"/>
      <c r="IO21" s="130"/>
      <c r="IP21" s="130"/>
      <c r="IQ21" s="130"/>
      <c r="IR21" s="130"/>
      <c r="IS21" s="130"/>
      <c r="IT21" s="130"/>
      <c r="IU21" s="130"/>
      <c r="IV21" s="130"/>
    </row>
    <row r="22" ht="18.95" customHeight="1" spans="1:256">
      <c r="A22" s="134" t="s">
        <v>1250</v>
      </c>
      <c r="B22" s="135">
        <v>18</v>
      </c>
      <c r="C22" s="140">
        <v>7514245.8</v>
      </c>
      <c r="D22" s="129"/>
      <c r="E22" s="129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130"/>
      <c r="FI22" s="130"/>
      <c r="FJ22" s="130"/>
      <c r="FK22" s="130"/>
      <c r="FL22" s="130"/>
      <c r="FM22" s="130"/>
      <c r="FN22" s="130"/>
      <c r="FO22" s="130"/>
      <c r="FP22" s="130"/>
      <c r="FQ22" s="130"/>
      <c r="FR22" s="130"/>
      <c r="FS22" s="130"/>
      <c r="FT22" s="130"/>
      <c r="FU22" s="130"/>
      <c r="FV22" s="130"/>
      <c r="FW22" s="130"/>
      <c r="FX22" s="130"/>
      <c r="FY22" s="130"/>
      <c r="FZ22" s="130"/>
      <c r="GA22" s="130"/>
      <c r="GB22" s="130"/>
      <c r="GC22" s="130"/>
      <c r="GD22" s="130"/>
      <c r="GE22" s="130"/>
      <c r="GF22" s="130"/>
      <c r="GG22" s="130"/>
      <c r="GH22" s="130"/>
      <c r="GI22" s="130"/>
      <c r="GJ22" s="130"/>
      <c r="GK22" s="130"/>
      <c r="GL22" s="130"/>
      <c r="GM22" s="130"/>
      <c r="GN22" s="130"/>
      <c r="GO22" s="130"/>
      <c r="GP22" s="130"/>
      <c r="GQ22" s="130"/>
      <c r="GR22" s="130"/>
      <c r="GS22" s="130"/>
      <c r="GT22" s="130"/>
      <c r="GU22" s="130"/>
      <c r="GV22" s="130"/>
      <c r="GW22" s="130"/>
      <c r="GX22" s="130"/>
      <c r="GY22" s="130"/>
      <c r="GZ22" s="130"/>
      <c r="HA22" s="130"/>
      <c r="HB22" s="130"/>
      <c r="HC22" s="130"/>
      <c r="HD22" s="130"/>
      <c r="HE22" s="130"/>
      <c r="HF22" s="130"/>
      <c r="HG22" s="130"/>
      <c r="HH22" s="130"/>
      <c r="HI22" s="130"/>
      <c r="HJ22" s="130"/>
      <c r="HK22" s="130"/>
      <c r="HL22" s="130"/>
      <c r="HM22" s="130"/>
      <c r="HN22" s="130"/>
      <c r="HO22" s="130"/>
      <c r="HP22" s="130"/>
      <c r="HQ22" s="130"/>
      <c r="HR22" s="130"/>
      <c r="HS22" s="130"/>
      <c r="HT22" s="130"/>
      <c r="HU22" s="130"/>
      <c r="HV22" s="130"/>
      <c r="HW22" s="130"/>
      <c r="HX22" s="130"/>
      <c r="HY22" s="130"/>
      <c r="HZ22" s="130"/>
      <c r="IA22" s="130"/>
      <c r="IB22" s="130"/>
      <c r="IC22" s="130"/>
      <c r="ID22" s="130"/>
      <c r="IE22" s="130"/>
      <c r="IF22" s="130"/>
      <c r="IG22" s="130"/>
      <c r="IH22" s="130"/>
      <c r="II22" s="130"/>
      <c r="IJ22" s="130"/>
      <c r="IK22" s="130"/>
      <c r="IL22" s="130"/>
      <c r="IM22" s="130"/>
      <c r="IN22" s="130"/>
      <c r="IO22" s="130"/>
      <c r="IP22" s="130"/>
      <c r="IQ22" s="130"/>
      <c r="IR22" s="130"/>
      <c r="IS22" s="130"/>
      <c r="IT22" s="130"/>
      <c r="IU22" s="130"/>
      <c r="IV22" s="130"/>
    </row>
    <row r="23" ht="18.95" customHeight="1" spans="1:256">
      <c r="A23" s="134" t="s">
        <v>1251</v>
      </c>
      <c r="B23" s="135">
        <v>19</v>
      </c>
      <c r="C23" s="140">
        <v>4511390.8</v>
      </c>
      <c r="D23" s="129"/>
      <c r="E23" s="129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DW23" s="130"/>
      <c r="DX23" s="130"/>
      <c r="DY23" s="130"/>
      <c r="DZ23" s="130"/>
      <c r="EA23" s="130"/>
      <c r="EB23" s="130"/>
      <c r="EC23" s="130"/>
      <c r="ED23" s="130"/>
      <c r="EE23" s="130"/>
      <c r="EF23" s="130"/>
      <c r="EG23" s="130"/>
      <c r="EH23" s="130"/>
      <c r="EI23" s="130"/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30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130"/>
      <c r="FF23" s="130"/>
      <c r="FG23" s="130"/>
      <c r="FH23" s="130"/>
      <c r="FI23" s="130"/>
      <c r="FJ23" s="130"/>
      <c r="FK23" s="130"/>
      <c r="FL23" s="130"/>
      <c r="FM23" s="130"/>
      <c r="FN23" s="130"/>
      <c r="FO23" s="130"/>
      <c r="FP23" s="130"/>
      <c r="FQ23" s="130"/>
      <c r="FR23" s="130"/>
      <c r="FS23" s="130"/>
      <c r="FT23" s="130"/>
      <c r="FU23" s="130"/>
      <c r="FV23" s="130"/>
      <c r="FW23" s="130"/>
      <c r="FX23" s="130"/>
      <c r="FY23" s="130"/>
      <c r="FZ23" s="130"/>
      <c r="GA23" s="130"/>
      <c r="GB23" s="130"/>
      <c r="GC23" s="130"/>
      <c r="GD23" s="130"/>
      <c r="GE23" s="130"/>
      <c r="GF23" s="130"/>
      <c r="GG23" s="130"/>
      <c r="GH23" s="130"/>
      <c r="GI23" s="130"/>
      <c r="GJ23" s="130"/>
      <c r="GK23" s="130"/>
      <c r="GL23" s="130"/>
      <c r="GM23" s="130"/>
      <c r="GN23" s="130"/>
      <c r="GO23" s="130"/>
      <c r="GP23" s="130"/>
      <c r="GQ23" s="130"/>
      <c r="GR23" s="130"/>
      <c r="GS23" s="130"/>
      <c r="GT23" s="130"/>
      <c r="GU23" s="130"/>
      <c r="GV23" s="130"/>
      <c r="GW23" s="130"/>
      <c r="GX23" s="130"/>
      <c r="GY23" s="130"/>
      <c r="GZ23" s="130"/>
      <c r="HA23" s="130"/>
      <c r="HB23" s="130"/>
      <c r="HC23" s="130"/>
      <c r="HD23" s="130"/>
      <c r="HE23" s="130"/>
      <c r="HF23" s="130"/>
      <c r="HG23" s="130"/>
      <c r="HH23" s="130"/>
      <c r="HI23" s="130"/>
      <c r="HJ23" s="130"/>
      <c r="HK23" s="130"/>
      <c r="HL23" s="130"/>
      <c r="HM23" s="130"/>
      <c r="HN23" s="130"/>
      <c r="HO23" s="130"/>
      <c r="HP23" s="130"/>
      <c r="HQ23" s="130"/>
      <c r="HR23" s="130"/>
      <c r="HS23" s="130"/>
      <c r="HT23" s="130"/>
      <c r="HU23" s="130"/>
      <c r="HV23" s="130"/>
      <c r="HW23" s="130"/>
      <c r="HX23" s="130"/>
      <c r="HY23" s="130"/>
      <c r="HZ23" s="130"/>
      <c r="IA23" s="130"/>
      <c r="IB23" s="130"/>
      <c r="IC23" s="130"/>
      <c r="ID23" s="130"/>
      <c r="IE23" s="130"/>
      <c r="IF23" s="130"/>
      <c r="IG23" s="130"/>
      <c r="IH23" s="130"/>
      <c r="II23" s="130"/>
      <c r="IJ23" s="130"/>
      <c r="IK23" s="130"/>
      <c r="IL23" s="130"/>
      <c r="IM23" s="130"/>
      <c r="IN23" s="130"/>
      <c r="IO23" s="130"/>
      <c r="IP23" s="130"/>
      <c r="IQ23" s="130"/>
      <c r="IR23" s="130"/>
      <c r="IS23" s="130"/>
      <c r="IT23" s="130"/>
      <c r="IU23" s="130"/>
      <c r="IV23" s="130"/>
    </row>
    <row r="24" ht="18.95" customHeight="1" spans="1:256">
      <c r="A24" s="134" t="s">
        <v>1252</v>
      </c>
      <c r="B24" s="135">
        <v>20</v>
      </c>
      <c r="C24" s="140">
        <v>3002855</v>
      </c>
      <c r="D24" s="129"/>
      <c r="E24" s="129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30"/>
      <c r="DN24" s="130"/>
      <c r="DO24" s="130"/>
      <c r="DP24" s="130"/>
      <c r="DQ24" s="130"/>
      <c r="DR24" s="130"/>
      <c r="DS24" s="130"/>
      <c r="DT24" s="130"/>
      <c r="DU24" s="130"/>
      <c r="DV24" s="130"/>
      <c r="DW24" s="130"/>
      <c r="DX24" s="130"/>
      <c r="DY24" s="130"/>
      <c r="DZ24" s="130"/>
      <c r="EA24" s="130"/>
      <c r="EB24" s="130"/>
      <c r="EC24" s="130"/>
      <c r="ED24" s="130"/>
      <c r="EE24" s="130"/>
      <c r="EF24" s="130"/>
      <c r="EG24" s="130"/>
      <c r="EH24" s="130"/>
      <c r="EI24" s="130"/>
      <c r="EJ24" s="130"/>
      <c r="EK24" s="130"/>
      <c r="EL24" s="130"/>
      <c r="EM24" s="130"/>
      <c r="EN24" s="130"/>
      <c r="EO24" s="130"/>
      <c r="EP24" s="130"/>
      <c r="EQ24" s="130"/>
      <c r="ER24" s="130"/>
      <c r="ES24" s="130"/>
      <c r="ET24" s="130"/>
      <c r="EU24" s="130"/>
      <c r="EV24" s="130"/>
      <c r="EW24" s="130"/>
      <c r="EX24" s="130"/>
      <c r="EY24" s="130"/>
      <c r="EZ24" s="130"/>
      <c r="FA24" s="130"/>
      <c r="FB24" s="130"/>
      <c r="FC24" s="130"/>
      <c r="FD24" s="130"/>
      <c r="FE24" s="130"/>
      <c r="FF24" s="130"/>
      <c r="FG24" s="130"/>
      <c r="FH24" s="130"/>
      <c r="FI24" s="130"/>
      <c r="FJ24" s="130"/>
      <c r="FK24" s="130"/>
      <c r="FL24" s="130"/>
      <c r="FM24" s="130"/>
      <c r="FN24" s="130"/>
      <c r="FO24" s="130"/>
      <c r="FP24" s="130"/>
      <c r="FQ24" s="130"/>
      <c r="FR24" s="130"/>
      <c r="FS24" s="130"/>
      <c r="FT24" s="130"/>
      <c r="FU24" s="130"/>
      <c r="FV24" s="130"/>
      <c r="FW24" s="130"/>
      <c r="FX24" s="130"/>
      <c r="FY24" s="130"/>
      <c r="FZ24" s="130"/>
      <c r="GA24" s="130"/>
      <c r="GB24" s="130"/>
      <c r="GC24" s="130"/>
      <c r="GD24" s="130"/>
      <c r="GE24" s="130"/>
      <c r="GF24" s="130"/>
      <c r="GG24" s="130"/>
      <c r="GH24" s="130"/>
      <c r="GI24" s="130"/>
      <c r="GJ24" s="130"/>
      <c r="GK24" s="130"/>
      <c r="GL24" s="130"/>
      <c r="GM24" s="130"/>
      <c r="GN24" s="130"/>
      <c r="GO24" s="130"/>
      <c r="GP24" s="130"/>
      <c r="GQ24" s="130"/>
      <c r="GR24" s="130"/>
      <c r="GS24" s="130"/>
      <c r="GT24" s="130"/>
      <c r="GU24" s="130"/>
      <c r="GV24" s="130"/>
      <c r="GW24" s="130"/>
      <c r="GX24" s="130"/>
      <c r="GY24" s="130"/>
      <c r="GZ24" s="130"/>
      <c r="HA24" s="130"/>
      <c r="HB24" s="130"/>
      <c r="HC24" s="130"/>
      <c r="HD24" s="130"/>
      <c r="HE24" s="130"/>
      <c r="HF24" s="130"/>
      <c r="HG24" s="130"/>
      <c r="HH24" s="130"/>
      <c r="HI24" s="130"/>
      <c r="HJ24" s="130"/>
      <c r="HK24" s="130"/>
      <c r="HL24" s="130"/>
      <c r="HM24" s="130"/>
      <c r="HN24" s="130"/>
      <c r="HO24" s="130"/>
      <c r="HP24" s="130"/>
      <c r="HQ24" s="130"/>
      <c r="HR24" s="130"/>
      <c r="HS24" s="130"/>
      <c r="HT24" s="130"/>
      <c r="HU24" s="130"/>
      <c r="HV24" s="130"/>
      <c r="HW24" s="130"/>
      <c r="HX24" s="130"/>
      <c r="HY24" s="130"/>
      <c r="HZ24" s="130"/>
      <c r="IA24" s="130"/>
      <c r="IB24" s="130"/>
      <c r="IC24" s="130"/>
      <c r="ID24" s="130"/>
      <c r="IE24" s="130"/>
      <c r="IF24" s="130"/>
      <c r="IG24" s="130"/>
      <c r="IH24" s="130"/>
      <c r="II24" s="130"/>
      <c r="IJ24" s="130"/>
      <c r="IK24" s="130"/>
      <c r="IL24" s="130"/>
      <c r="IM24" s="130"/>
      <c r="IN24" s="130"/>
      <c r="IO24" s="130"/>
      <c r="IP24" s="130"/>
      <c r="IQ24" s="130"/>
      <c r="IR24" s="130"/>
      <c r="IS24" s="130"/>
      <c r="IT24" s="130"/>
      <c r="IU24" s="130"/>
      <c r="IV24" s="130"/>
    </row>
    <row r="25" ht="18.95" customHeight="1" spans="1:256">
      <c r="A25" s="134" t="s">
        <v>1253</v>
      </c>
      <c r="B25" s="135">
        <v>21</v>
      </c>
      <c r="C25" s="140">
        <v>55359.01</v>
      </c>
      <c r="D25" s="129"/>
      <c r="E25" s="129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0"/>
      <c r="DE25" s="130"/>
      <c r="DF25" s="130"/>
      <c r="DG25" s="130"/>
      <c r="DH25" s="130"/>
      <c r="DI25" s="130"/>
      <c r="DJ25" s="130"/>
      <c r="DK25" s="130"/>
      <c r="DL25" s="130"/>
      <c r="DM25" s="130"/>
      <c r="DN25" s="130"/>
      <c r="DO25" s="130"/>
      <c r="DP25" s="130"/>
      <c r="DQ25" s="130"/>
      <c r="DR25" s="130"/>
      <c r="DS25" s="130"/>
      <c r="DT25" s="130"/>
      <c r="DU25" s="130"/>
      <c r="DV25" s="130"/>
      <c r="DW25" s="130"/>
      <c r="DX25" s="130"/>
      <c r="DY25" s="130"/>
      <c r="DZ25" s="130"/>
      <c r="EA25" s="130"/>
      <c r="EB25" s="130"/>
      <c r="EC25" s="130"/>
      <c r="ED25" s="130"/>
      <c r="EE25" s="130"/>
      <c r="EF25" s="130"/>
      <c r="EG25" s="130"/>
      <c r="EH25" s="130"/>
      <c r="EI25" s="130"/>
      <c r="EJ25" s="130"/>
      <c r="EK25" s="130"/>
      <c r="EL25" s="130"/>
      <c r="EM25" s="130"/>
      <c r="EN25" s="130"/>
      <c r="EO25" s="130"/>
      <c r="EP25" s="130"/>
      <c r="EQ25" s="130"/>
      <c r="ER25" s="130"/>
      <c r="ES25" s="130"/>
      <c r="ET25" s="130"/>
      <c r="EU25" s="130"/>
      <c r="EV25" s="130"/>
      <c r="EW25" s="130"/>
      <c r="EX25" s="130"/>
      <c r="EY25" s="130"/>
      <c r="EZ25" s="130"/>
      <c r="FA25" s="130"/>
      <c r="FB25" s="130"/>
      <c r="FC25" s="130"/>
      <c r="FD25" s="130"/>
      <c r="FE25" s="130"/>
      <c r="FF25" s="130"/>
      <c r="FG25" s="130"/>
      <c r="FH25" s="130"/>
      <c r="FI25" s="130"/>
      <c r="FJ25" s="130"/>
      <c r="FK25" s="130"/>
      <c r="FL25" s="130"/>
      <c r="FM25" s="130"/>
      <c r="FN25" s="130"/>
      <c r="FO25" s="130"/>
      <c r="FP25" s="130"/>
      <c r="FQ25" s="130"/>
      <c r="FR25" s="130"/>
      <c r="FS25" s="130"/>
      <c r="FT25" s="130"/>
      <c r="FU25" s="130"/>
      <c r="FV25" s="130"/>
      <c r="FW25" s="130"/>
      <c r="FX25" s="130"/>
      <c r="FY25" s="130"/>
      <c r="FZ25" s="130"/>
      <c r="GA25" s="130"/>
      <c r="GB25" s="130"/>
      <c r="GC25" s="130"/>
      <c r="GD25" s="130"/>
      <c r="GE25" s="130"/>
      <c r="GF25" s="130"/>
      <c r="GG25" s="130"/>
      <c r="GH25" s="130"/>
      <c r="GI25" s="130"/>
      <c r="GJ25" s="130"/>
      <c r="GK25" s="130"/>
      <c r="GL25" s="130"/>
      <c r="GM25" s="130"/>
      <c r="GN25" s="130"/>
      <c r="GO25" s="130"/>
      <c r="GP25" s="130"/>
      <c r="GQ25" s="130"/>
      <c r="GR25" s="130"/>
      <c r="GS25" s="130"/>
      <c r="GT25" s="130"/>
      <c r="GU25" s="130"/>
      <c r="GV25" s="130"/>
      <c r="GW25" s="130"/>
      <c r="GX25" s="130"/>
      <c r="GY25" s="130"/>
      <c r="GZ25" s="130"/>
      <c r="HA25" s="130"/>
      <c r="HB25" s="130"/>
      <c r="HC25" s="130"/>
      <c r="HD25" s="130"/>
      <c r="HE25" s="130"/>
      <c r="HF25" s="130"/>
      <c r="HG25" s="130"/>
      <c r="HH25" s="130"/>
      <c r="HI25" s="130"/>
      <c r="HJ25" s="130"/>
      <c r="HK25" s="130"/>
      <c r="HL25" s="130"/>
      <c r="HM25" s="130"/>
      <c r="HN25" s="130"/>
      <c r="HO25" s="130"/>
      <c r="HP25" s="130"/>
      <c r="HQ25" s="130"/>
      <c r="HR25" s="130"/>
      <c r="HS25" s="130"/>
      <c r="HT25" s="130"/>
      <c r="HU25" s="130"/>
      <c r="HV25" s="130"/>
      <c r="HW25" s="130"/>
      <c r="HX25" s="130"/>
      <c r="HY25" s="130"/>
      <c r="HZ25" s="130"/>
      <c r="IA25" s="130"/>
      <c r="IB25" s="130"/>
      <c r="IC25" s="130"/>
      <c r="ID25" s="130"/>
      <c r="IE25" s="130"/>
      <c r="IF25" s="130"/>
      <c r="IG25" s="130"/>
      <c r="IH25" s="130"/>
      <c r="II25" s="130"/>
      <c r="IJ25" s="130"/>
      <c r="IK25" s="130"/>
      <c r="IL25" s="130"/>
      <c r="IM25" s="130"/>
      <c r="IN25" s="130"/>
      <c r="IO25" s="130"/>
      <c r="IP25" s="130"/>
      <c r="IQ25" s="130"/>
      <c r="IR25" s="130"/>
      <c r="IS25" s="130"/>
      <c r="IT25" s="130"/>
      <c r="IU25" s="130"/>
      <c r="IV25" s="130"/>
    </row>
    <row r="26" ht="18.95" customHeight="1" spans="1:256">
      <c r="A26" s="134" t="s">
        <v>1254</v>
      </c>
      <c r="B26" s="135">
        <v>22</v>
      </c>
      <c r="C26" s="140">
        <v>54382.25</v>
      </c>
      <c r="D26" s="129"/>
      <c r="E26" s="129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0"/>
      <c r="DE26" s="130"/>
      <c r="DF26" s="130"/>
      <c r="DG26" s="130"/>
      <c r="DH26" s="130"/>
      <c r="DI26" s="130"/>
      <c r="DJ26" s="130"/>
      <c r="DK26" s="130"/>
      <c r="DL26" s="130"/>
      <c r="DM26" s="130"/>
      <c r="DN26" s="130"/>
      <c r="DO26" s="130"/>
      <c r="DP26" s="130"/>
      <c r="DQ26" s="130"/>
      <c r="DR26" s="130"/>
      <c r="DS26" s="130"/>
      <c r="DT26" s="130"/>
      <c r="DU26" s="130"/>
      <c r="DV26" s="130"/>
      <c r="DW26" s="130"/>
      <c r="DX26" s="130"/>
      <c r="DY26" s="130"/>
      <c r="DZ26" s="130"/>
      <c r="EA26" s="130"/>
      <c r="EB26" s="130"/>
      <c r="EC26" s="130"/>
      <c r="ED26" s="130"/>
      <c r="EE26" s="130"/>
      <c r="EF26" s="130"/>
      <c r="EG26" s="130"/>
      <c r="EH26" s="130"/>
      <c r="EI26" s="130"/>
      <c r="EJ26" s="130"/>
      <c r="EK26" s="130"/>
      <c r="EL26" s="130"/>
      <c r="EM26" s="130"/>
      <c r="EN26" s="130"/>
      <c r="EO26" s="130"/>
      <c r="EP26" s="130"/>
      <c r="EQ26" s="130"/>
      <c r="ER26" s="130"/>
      <c r="ES26" s="130"/>
      <c r="ET26" s="130"/>
      <c r="EU26" s="130"/>
      <c r="EV26" s="130"/>
      <c r="EW26" s="130"/>
      <c r="EX26" s="130"/>
      <c r="EY26" s="130"/>
      <c r="EZ26" s="130"/>
      <c r="FA26" s="130"/>
      <c r="FB26" s="130"/>
      <c r="FC26" s="130"/>
      <c r="FD26" s="130"/>
      <c r="FE26" s="130"/>
      <c r="FF26" s="130"/>
      <c r="FG26" s="130"/>
      <c r="FH26" s="130"/>
      <c r="FI26" s="130"/>
      <c r="FJ26" s="130"/>
      <c r="FK26" s="130"/>
      <c r="FL26" s="130"/>
      <c r="FM26" s="130"/>
      <c r="FN26" s="130"/>
      <c r="FO26" s="130"/>
      <c r="FP26" s="130"/>
      <c r="FQ26" s="130"/>
      <c r="FR26" s="130"/>
      <c r="FS26" s="130"/>
      <c r="FT26" s="130"/>
      <c r="FU26" s="130"/>
      <c r="FV26" s="130"/>
      <c r="FW26" s="130"/>
      <c r="FX26" s="130"/>
      <c r="FY26" s="130"/>
      <c r="FZ26" s="130"/>
      <c r="GA26" s="130"/>
      <c r="GB26" s="130"/>
      <c r="GC26" s="130"/>
      <c r="GD26" s="130"/>
      <c r="GE26" s="130"/>
      <c r="GF26" s="130"/>
      <c r="GG26" s="130"/>
      <c r="GH26" s="130"/>
      <c r="GI26" s="130"/>
      <c r="GJ26" s="130"/>
      <c r="GK26" s="130"/>
      <c r="GL26" s="130"/>
      <c r="GM26" s="130"/>
      <c r="GN26" s="130"/>
      <c r="GO26" s="130"/>
      <c r="GP26" s="130"/>
      <c r="GQ26" s="130"/>
      <c r="GR26" s="130"/>
      <c r="GS26" s="130"/>
      <c r="GT26" s="130"/>
      <c r="GU26" s="130"/>
      <c r="GV26" s="130"/>
      <c r="GW26" s="130"/>
      <c r="GX26" s="130"/>
      <c r="GY26" s="130"/>
      <c r="GZ26" s="130"/>
      <c r="HA26" s="130"/>
      <c r="HB26" s="130"/>
      <c r="HC26" s="130"/>
      <c r="HD26" s="130"/>
      <c r="HE26" s="130"/>
      <c r="HF26" s="130"/>
      <c r="HG26" s="130"/>
      <c r="HH26" s="130"/>
      <c r="HI26" s="130"/>
      <c r="HJ26" s="130"/>
      <c r="HK26" s="130"/>
      <c r="HL26" s="130"/>
      <c r="HM26" s="130"/>
      <c r="HN26" s="130"/>
      <c r="HO26" s="130"/>
      <c r="HP26" s="130"/>
      <c r="HQ26" s="130"/>
      <c r="HR26" s="130"/>
      <c r="HS26" s="130"/>
      <c r="HT26" s="130"/>
      <c r="HU26" s="130"/>
      <c r="HV26" s="130"/>
      <c r="HW26" s="130"/>
      <c r="HX26" s="130"/>
      <c r="HY26" s="130"/>
      <c r="HZ26" s="130"/>
      <c r="IA26" s="130"/>
      <c r="IB26" s="130"/>
      <c r="IC26" s="130"/>
      <c r="ID26" s="130"/>
      <c r="IE26" s="130"/>
      <c r="IF26" s="130"/>
      <c r="IG26" s="130"/>
      <c r="IH26" s="130"/>
      <c r="II26" s="130"/>
      <c r="IJ26" s="130"/>
      <c r="IK26" s="130"/>
      <c r="IL26" s="130"/>
      <c r="IM26" s="130"/>
      <c r="IN26" s="130"/>
      <c r="IO26" s="130"/>
      <c r="IP26" s="130"/>
      <c r="IQ26" s="130"/>
      <c r="IR26" s="130"/>
      <c r="IS26" s="130"/>
      <c r="IT26" s="130"/>
      <c r="IU26" s="130"/>
      <c r="IV26" s="130"/>
    </row>
    <row r="27" ht="18.95" customHeight="1" spans="1:256">
      <c r="A27" s="134" t="s">
        <v>1255</v>
      </c>
      <c r="B27" s="135">
        <v>23</v>
      </c>
      <c r="C27" s="140">
        <v>51357.99</v>
      </c>
      <c r="D27" s="129"/>
      <c r="E27" s="129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0"/>
      <c r="DE27" s="130"/>
      <c r="DF27" s="130"/>
      <c r="DG27" s="130"/>
      <c r="DH27" s="130"/>
      <c r="DI27" s="130"/>
      <c r="DJ27" s="130"/>
      <c r="DK27" s="130"/>
      <c r="DL27" s="130"/>
      <c r="DM27" s="130"/>
      <c r="DN27" s="130"/>
      <c r="DO27" s="130"/>
      <c r="DP27" s="130"/>
      <c r="DQ27" s="130"/>
      <c r="DR27" s="130"/>
      <c r="DS27" s="130"/>
      <c r="DT27" s="130"/>
      <c r="DU27" s="130"/>
      <c r="DV27" s="130"/>
      <c r="DW27" s="130"/>
      <c r="DX27" s="130"/>
      <c r="DY27" s="130"/>
      <c r="DZ27" s="130"/>
      <c r="EA27" s="130"/>
      <c r="EB27" s="130"/>
      <c r="EC27" s="130"/>
      <c r="ED27" s="130"/>
      <c r="EE27" s="130"/>
      <c r="EF27" s="130"/>
      <c r="EG27" s="130"/>
      <c r="EH27" s="130"/>
      <c r="EI27" s="130"/>
      <c r="EJ27" s="130"/>
      <c r="EK27" s="130"/>
      <c r="EL27" s="130"/>
      <c r="EM27" s="130"/>
      <c r="EN27" s="130"/>
      <c r="EO27" s="130"/>
      <c r="EP27" s="130"/>
      <c r="EQ27" s="130"/>
      <c r="ER27" s="130"/>
      <c r="ES27" s="130"/>
      <c r="ET27" s="130"/>
      <c r="EU27" s="130"/>
      <c r="EV27" s="130"/>
      <c r="EW27" s="130"/>
      <c r="EX27" s="130"/>
      <c r="EY27" s="130"/>
      <c r="EZ27" s="130"/>
      <c r="FA27" s="130"/>
      <c r="FB27" s="130"/>
      <c r="FC27" s="130"/>
      <c r="FD27" s="130"/>
      <c r="FE27" s="130"/>
      <c r="FF27" s="130"/>
      <c r="FG27" s="130"/>
      <c r="FH27" s="130"/>
      <c r="FI27" s="130"/>
      <c r="FJ27" s="130"/>
      <c r="FK27" s="130"/>
      <c r="FL27" s="130"/>
      <c r="FM27" s="130"/>
      <c r="FN27" s="130"/>
      <c r="FO27" s="130"/>
      <c r="FP27" s="130"/>
      <c r="FQ27" s="130"/>
      <c r="FR27" s="130"/>
      <c r="FS27" s="130"/>
      <c r="FT27" s="130"/>
      <c r="FU27" s="130"/>
      <c r="FV27" s="130"/>
      <c r="FW27" s="130"/>
      <c r="FX27" s="130"/>
      <c r="FY27" s="130"/>
      <c r="FZ27" s="130"/>
      <c r="GA27" s="130"/>
      <c r="GB27" s="130"/>
      <c r="GC27" s="130"/>
      <c r="GD27" s="130"/>
      <c r="GE27" s="130"/>
      <c r="GF27" s="130"/>
      <c r="GG27" s="130"/>
      <c r="GH27" s="130"/>
      <c r="GI27" s="130"/>
      <c r="GJ27" s="130"/>
      <c r="GK27" s="130"/>
      <c r="GL27" s="130"/>
      <c r="GM27" s="130"/>
      <c r="GN27" s="130"/>
      <c r="GO27" s="130"/>
      <c r="GP27" s="130"/>
      <c r="GQ27" s="130"/>
      <c r="GR27" s="130"/>
      <c r="GS27" s="130"/>
      <c r="GT27" s="130"/>
      <c r="GU27" s="130"/>
      <c r="GV27" s="130"/>
      <c r="GW27" s="130"/>
      <c r="GX27" s="130"/>
      <c r="GY27" s="130"/>
      <c r="GZ27" s="130"/>
      <c r="HA27" s="130"/>
      <c r="HB27" s="130"/>
      <c r="HC27" s="130"/>
      <c r="HD27" s="130"/>
      <c r="HE27" s="130"/>
      <c r="HF27" s="130"/>
      <c r="HG27" s="130"/>
      <c r="HH27" s="130"/>
      <c r="HI27" s="130"/>
      <c r="HJ27" s="130"/>
      <c r="HK27" s="130"/>
      <c r="HL27" s="130"/>
      <c r="HM27" s="130"/>
      <c r="HN27" s="130"/>
      <c r="HO27" s="130"/>
      <c r="HP27" s="130"/>
      <c r="HQ27" s="130"/>
      <c r="HR27" s="130"/>
      <c r="HS27" s="130"/>
      <c r="HT27" s="130"/>
      <c r="HU27" s="130"/>
      <c r="HV27" s="130"/>
      <c r="HW27" s="130"/>
      <c r="HX27" s="130"/>
      <c r="HY27" s="130"/>
      <c r="HZ27" s="130"/>
      <c r="IA27" s="130"/>
      <c r="IB27" s="130"/>
      <c r="IC27" s="130"/>
      <c r="ID27" s="130"/>
      <c r="IE27" s="130"/>
      <c r="IF27" s="130"/>
      <c r="IG27" s="130"/>
      <c r="IH27" s="130"/>
      <c r="II27" s="130"/>
      <c r="IJ27" s="130"/>
      <c r="IK27" s="130"/>
      <c r="IL27" s="130"/>
      <c r="IM27" s="130"/>
      <c r="IN27" s="130"/>
      <c r="IO27" s="130"/>
      <c r="IP27" s="130"/>
      <c r="IQ27" s="130"/>
      <c r="IR27" s="130"/>
      <c r="IS27" s="130"/>
      <c r="IT27" s="130"/>
      <c r="IU27" s="130"/>
      <c r="IV27" s="130"/>
    </row>
    <row r="28" ht="18.95" customHeight="1" spans="1:256">
      <c r="A28" s="132" t="s">
        <v>1257</v>
      </c>
      <c r="B28" s="133">
        <v>24</v>
      </c>
      <c r="C28" s="138" t="s">
        <v>1238</v>
      </c>
      <c r="D28" s="129"/>
      <c r="E28" s="129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0"/>
      <c r="DE28" s="130"/>
      <c r="DF28" s="130"/>
      <c r="DG28" s="130"/>
      <c r="DH28" s="130"/>
      <c r="DI28" s="130"/>
      <c r="DJ28" s="130"/>
      <c r="DK28" s="130"/>
      <c r="DL28" s="130"/>
      <c r="DM28" s="130"/>
      <c r="DN28" s="130"/>
      <c r="DO28" s="130"/>
      <c r="DP28" s="130"/>
      <c r="DQ28" s="130"/>
      <c r="DR28" s="130"/>
      <c r="DS28" s="130"/>
      <c r="DT28" s="130"/>
      <c r="DU28" s="130"/>
      <c r="DV28" s="130"/>
      <c r="DW28" s="130"/>
      <c r="DX28" s="130"/>
      <c r="DY28" s="130"/>
      <c r="DZ28" s="130"/>
      <c r="EA28" s="130"/>
      <c r="EB28" s="130"/>
      <c r="EC28" s="130"/>
      <c r="ED28" s="130"/>
      <c r="EE28" s="130"/>
      <c r="EF28" s="130"/>
      <c r="EG28" s="130"/>
      <c r="EH28" s="130"/>
      <c r="EI28" s="130"/>
      <c r="EJ28" s="130"/>
      <c r="EK28" s="130"/>
      <c r="EL28" s="130"/>
      <c r="EM28" s="130"/>
      <c r="EN28" s="130"/>
      <c r="EO28" s="130"/>
      <c r="EP28" s="130"/>
      <c r="EQ28" s="130"/>
      <c r="ER28" s="130"/>
      <c r="ES28" s="130"/>
      <c r="ET28" s="130"/>
      <c r="EU28" s="130"/>
      <c r="EV28" s="130"/>
      <c r="EW28" s="130"/>
      <c r="EX28" s="130"/>
      <c r="EY28" s="130"/>
      <c r="EZ28" s="130"/>
      <c r="FA28" s="130"/>
      <c r="FB28" s="130"/>
      <c r="FC28" s="130"/>
      <c r="FD28" s="130"/>
      <c r="FE28" s="130"/>
      <c r="FF28" s="130"/>
      <c r="FG28" s="130"/>
      <c r="FH28" s="130"/>
      <c r="FI28" s="130"/>
      <c r="FJ28" s="130"/>
      <c r="FK28" s="130"/>
      <c r="FL28" s="130"/>
      <c r="FM28" s="130"/>
      <c r="FN28" s="130"/>
      <c r="FO28" s="130"/>
      <c r="FP28" s="130"/>
      <c r="FQ28" s="130"/>
      <c r="FR28" s="130"/>
      <c r="FS28" s="130"/>
      <c r="FT28" s="130"/>
      <c r="FU28" s="130"/>
      <c r="FV28" s="130"/>
      <c r="FW28" s="130"/>
      <c r="FX28" s="130"/>
      <c r="FY28" s="130"/>
      <c r="FZ28" s="130"/>
      <c r="GA28" s="130"/>
      <c r="GB28" s="130"/>
      <c r="GC28" s="130"/>
      <c r="GD28" s="130"/>
      <c r="GE28" s="130"/>
      <c r="GF28" s="130"/>
      <c r="GG28" s="130"/>
      <c r="GH28" s="130"/>
      <c r="GI28" s="130"/>
      <c r="GJ28" s="130"/>
      <c r="GK28" s="130"/>
      <c r="GL28" s="130"/>
      <c r="GM28" s="130"/>
      <c r="GN28" s="130"/>
      <c r="GO28" s="130"/>
      <c r="GP28" s="130"/>
      <c r="GQ28" s="130"/>
      <c r="GR28" s="130"/>
      <c r="GS28" s="130"/>
      <c r="GT28" s="130"/>
      <c r="GU28" s="130"/>
      <c r="GV28" s="130"/>
      <c r="GW28" s="130"/>
      <c r="GX28" s="130"/>
      <c r="GY28" s="130"/>
      <c r="GZ28" s="130"/>
      <c r="HA28" s="130"/>
      <c r="HB28" s="130"/>
      <c r="HC28" s="130"/>
      <c r="HD28" s="130"/>
      <c r="HE28" s="130"/>
      <c r="HF28" s="130"/>
      <c r="HG28" s="130"/>
      <c r="HH28" s="130"/>
      <c r="HI28" s="130"/>
      <c r="HJ28" s="130"/>
      <c r="HK28" s="130"/>
      <c r="HL28" s="130"/>
      <c r="HM28" s="130"/>
      <c r="HN28" s="130"/>
      <c r="HO28" s="130"/>
      <c r="HP28" s="130"/>
      <c r="HQ28" s="130"/>
      <c r="HR28" s="130"/>
      <c r="HS28" s="130"/>
      <c r="HT28" s="130"/>
      <c r="HU28" s="130"/>
      <c r="HV28" s="130"/>
      <c r="HW28" s="130"/>
      <c r="HX28" s="130"/>
      <c r="HY28" s="130"/>
      <c r="HZ28" s="130"/>
      <c r="IA28" s="130"/>
      <c r="IB28" s="130"/>
      <c r="IC28" s="130"/>
      <c r="ID28" s="130"/>
      <c r="IE28" s="130"/>
      <c r="IF28" s="130"/>
      <c r="IG28" s="130"/>
      <c r="IH28" s="130"/>
      <c r="II28" s="130"/>
      <c r="IJ28" s="130"/>
      <c r="IK28" s="130"/>
      <c r="IL28" s="130"/>
      <c r="IM28" s="130"/>
      <c r="IN28" s="130"/>
      <c r="IO28" s="130"/>
      <c r="IP28" s="130"/>
      <c r="IQ28" s="130"/>
      <c r="IR28" s="130"/>
      <c r="IS28" s="130"/>
      <c r="IT28" s="130"/>
      <c r="IU28" s="130"/>
      <c r="IV28" s="130"/>
    </row>
    <row r="29" ht="18.95" customHeight="1" spans="1:256">
      <c r="A29" s="134" t="s">
        <v>1258</v>
      </c>
      <c r="B29" s="135">
        <v>25</v>
      </c>
      <c r="C29" s="142" t="s">
        <v>1259</v>
      </c>
      <c r="D29" s="129"/>
      <c r="E29" s="129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0"/>
      <c r="DE29" s="130"/>
      <c r="DF29" s="130"/>
      <c r="DG29" s="130"/>
      <c r="DH29" s="130"/>
      <c r="DI29" s="130"/>
      <c r="DJ29" s="130"/>
      <c r="DK29" s="130"/>
      <c r="DL29" s="130"/>
      <c r="DM29" s="130"/>
      <c r="DN29" s="130"/>
      <c r="DO29" s="130"/>
      <c r="DP29" s="130"/>
      <c r="DQ29" s="130"/>
      <c r="DR29" s="130"/>
      <c r="DS29" s="130"/>
      <c r="DT29" s="130"/>
      <c r="DU29" s="130"/>
      <c r="DV29" s="130"/>
      <c r="DW29" s="130"/>
      <c r="DX29" s="130"/>
      <c r="DY29" s="130"/>
      <c r="DZ29" s="130"/>
      <c r="EA29" s="130"/>
      <c r="EB29" s="130"/>
      <c r="EC29" s="130"/>
      <c r="ED29" s="130"/>
      <c r="EE29" s="130"/>
      <c r="EF29" s="130"/>
      <c r="EG29" s="130"/>
      <c r="EH29" s="130"/>
      <c r="EI29" s="130"/>
      <c r="EJ29" s="130"/>
      <c r="EK29" s="130"/>
      <c r="EL29" s="130"/>
      <c r="EM29" s="130"/>
      <c r="EN29" s="130"/>
      <c r="EO29" s="130"/>
      <c r="EP29" s="130"/>
      <c r="EQ29" s="130"/>
      <c r="ER29" s="130"/>
      <c r="ES29" s="130"/>
      <c r="ET29" s="130"/>
      <c r="EU29" s="130"/>
      <c r="EV29" s="130"/>
      <c r="EW29" s="130"/>
      <c r="EX29" s="130"/>
      <c r="EY29" s="130"/>
      <c r="EZ29" s="130"/>
      <c r="FA29" s="130"/>
      <c r="FB29" s="130"/>
      <c r="FC29" s="130"/>
      <c r="FD29" s="130"/>
      <c r="FE29" s="130"/>
      <c r="FF29" s="130"/>
      <c r="FG29" s="130"/>
      <c r="FH29" s="130"/>
      <c r="FI29" s="130"/>
      <c r="FJ29" s="130"/>
      <c r="FK29" s="130"/>
      <c r="FL29" s="130"/>
      <c r="FM29" s="130"/>
      <c r="FN29" s="130"/>
      <c r="FO29" s="130"/>
      <c r="FP29" s="130"/>
      <c r="FQ29" s="130"/>
      <c r="FR29" s="130"/>
      <c r="FS29" s="130"/>
      <c r="FT29" s="130"/>
      <c r="FU29" s="130"/>
      <c r="FV29" s="130"/>
      <c r="FW29" s="130"/>
      <c r="FX29" s="130"/>
      <c r="FY29" s="130"/>
      <c r="FZ29" s="130"/>
      <c r="GA29" s="130"/>
      <c r="GB29" s="130"/>
      <c r="GC29" s="130"/>
      <c r="GD29" s="130"/>
      <c r="GE29" s="130"/>
      <c r="GF29" s="130"/>
      <c r="GG29" s="130"/>
      <c r="GH29" s="130"/>
      <c r="GI29" s="130"/>
      <c r="GJ29" s="130"/>
      <c r="GK29" s="130"/>
      <c r="GL29" s="130"/>
      <c r="GM29" s="130"/>
      <c r="GN29" s="130"/>
      <c r="GO29" s="130"/>
      <c r="GP29" s="130"/>
      <c r="GQ29" s="130"/>
      <c r="GR29" s="130"/>
      <c r="GS29" s="130"/>
      <c r="GT29" s="130"/>
      <c r="GU29" s="130"/>
      <c r="GV29" s="130"/>
      <c r="GW29" s="130"/>
      <c r="GX29" s="130"/>
      <c r="GY29" s="130"/>
      <c r="GZ29" s="130"/>
      <c r="HA29" s="130"/>
      <c r="HB29" s="130"/>
      <c r="HC29" s="130"/>
      <c r="HD29" s="130"/>
      <c r="HE29" s="130"/>
      <c r="HF29" s="130"/>
      <c r="HG29" s="130"/>
      <c r="HH29" s="130"/>
      <c r="HI29" s="130"/>
      <c r="HJ29" s="130"/>
      <c r="HK29" s="130"/>
      <c r="HL29" s="130"/>
      <c r="HM29" s="130"/>
      <c r="HN29" s="130"/>
      <c r="HO29" s="130"/>
      <c r="HP29" s="130"/>
      <c r="HQ29" s="130"/>
      <c r="HR29" s="130"/>
      <c r="HS29" s="130"/>
      <c r="HT29" s="130"/>
      <c r="HU29" s="130"/>
      <c r="HV29" s="130"/>
      <c r="HW29" s="130"/>
      <c r="HX29" s="130"/>
      <c r="HY29" s="130"/>
      <c r="HZ29" s="130"/>
      <c r="IA29" s="130"/>
      <c r="IB29" s="130"/>
      <c r="IC29" s="130"/>
      <c r="ID29" s="130"/>
      <c r="IE29" s="130"/>
      <c r="IF29" s="130"/>
      <c r="IG29" s="130"/>
      <c r="IH29" s="130"/>
      <c r="II29" s="130"/>
      <c r="IJ29" s="130"/>
      <c r="IK29" s="130"/>
      <c r="IL29" s="130"/>
      <c r="IM29" s="130"/>
      <c r="IN29" s="130"/>
      <c r="IO29" s="130"/>
      <c r="IP29" s="130"/>
      <c r="IQ29" s="130"/>
      <c r="IR29" s="130"/>
      <c r="IS29" s="130"/>
      <c r="IT29" s="130"/>
      <c r="IU29" s="130"/>
      <c r="IV29" s="130"/>
    </row>
    <row r="30" ht="18.95" customHeight="1" spans="1:256">
      <c r="A30" s="134" t="s">
        <v>1260</v>
      </c>
      <c r="B30" s="135">
        <v>26</v>
      </c>
      <c r="C30" s="143" t="s">
        <v>1261</v>
      </c>
      <c r="D30" s="129"/>
      <c r="E30" s="129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0"/>
      <c r="DE30" s="130"/>
      <c r="DF30" s="130"/>
      <c r="DG30" s="130"/>
      <c r="DH30" s="130"/>
      <c r="DI30" s="130"/>
      <c r="DJ30" s="130"/>
      <c r="DK30" s="130"/>
      <c r="DL30" s="130"/>
      <c r="DM30" s="130"/>
      <c r="DN30" s="130"/>
      <c r="DO30" s="130"/>
      <c r="DP30" s="130"/>
      <c r="DQ30" s="130"/>
      <c r="DR30" s="130"/>
      <c r="DS30" s="130"/>
      <c r="DT30" s="130"/>
      <c r="DU30" s="130"/>
      <c r="DV30" s="130"/>
      <c r="DW30" s="130"/>
      <c r="DX30" s="130"/>
      <c r="DY30" s="130"/>
      <c r="DZ30" s="130"/>
      <c r="EA30" s="130"/>
      <c r="EB30" s="130"/>
      <c r="EC30" s="130"/>
      <c r="ED30" s="130"/>
      <c r="EE30" s="130"/>
      <c r="EF30" s="130"/>
      <c r="EG30" s="130"/>
      <c r="EH30" s="130"/>
      <c r="EI30" s="130"/>
      <c r="EJ30" s="130"/>
      <c r="EK30" s="130"/>
      <c r="EL30" s="130"/>
      <c r="EM30" s="130"/>
      <c r="EN30" s="130"/>
      <c r="EO30" s="130"/>
      <c r="EP30" s="130"/>
      <c r="EQ30" s="130"/>
      <c r="ER30" s="130"/>
      <c r="ES30" s="130"/>
      <c r="ET30" s="130"/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30"/>
      <c r="FF30" s="130"/>
      <c r="FG30" s="130"/>
      <c r="FH30" s="130"/>
      <c r="FI30" s="130"/>
      <c r="FJ30" s="130"/>
      <c r="FK30" s="130"/>
      <c r="FL30" s="130"/>
      <c r="FM30" s="130"/>
      <c r="FN30" s="130"/>
      <c r="FO30" s="130"/>
      <c r="FP30" s="130"/>
      <c r="FQ30" s="130"/>
      <c r="FR30" s="130"/>
      <c r="FS30" s="130"/>
      <c r="FT30" s="130"/>
      <c r="FU30" s="130"/>
      <c r="FV30" s="130"/>
      <c r="FW30" s="130"/>
      <c r="FX30" s="130"/>
      <c r="FY30" s="130"/>
      <c r="FZ30" s="130"/>
      <c r="GA30" s="130"/>
      <c r="GB30" s="130"/>
      <c r="GC30" s="130"/>
      <c r="GD30" s="130"/>
      <c r="GE30" s="130"/>
      <c r="GF30" s="130"/>
      <c r="GG30" s="130"/>
      <c r="GH30" s="130"/>
      <c r="GI30" s="130"/>
      <c r="GJ30" s="130"/>
      <c r="GK30" s="130"/>
      <c r="GL30" s="130"/>
      <c r="GM30" s="130"/>
      <c r="GN30" s="130"/>
      <c r="GO30" s="130"/>
      <c r="GP30" s="130"/>
      <c r="GQ30" s="130"/>
      <c r="GR30" s="130"/>
      <c r="GS30" s="130"/>
      <c r="GT30" s="130"/>
      <c r="GU30" s="130"/>
      <c r="GV30" s="130"/>
      <c r="GW30" s="130"/>
      <c r="GX30" s="130"/>
      <c r="GY30" s="130"/>
      <c r="GZ30" s="130"/>
      <c r="HA30" s="130"/>
      <c r="HB30" s="130"/>
      <c r="HC30" s="130"/>
      <c r="HD30" s="130"/>
      <c r="HE30" s="130"/>
      <c r="HF30" s="130"/>
      <c r="HG30" s="130"/>
      <c r="HH30" s="130"/>
      <c r="HI30" s="130"/>
      <c r="HJ30" s="130"/>
      <c r="HK30" s="130"/>
      <c r="HL30" s="130"/>
      <c r="HM30" s="130"/>
      <c r="HN30" s="130"/>
      <c r="HO30" s="130"/>
      <c r="HP30" s="130"/>
      <c r="HQ30" s="130"/>
      <c r="HR30" s="130"/>
      <c r="HS30" s="130"/>
      <c r="HT30" s="130"/>
      <c r="HU30" s="130"/>
      <c r="HV30" s="130"/>
      <c r="HW30" s="130"/>
      <c r="HX30" s="130"/>
      <c r="HY30" s="130"/>
      <c r="HZ30" s="130"/>
      <c r="IA30" s="130"/>
      <c r="IB30" s="130"/>
      <c r="IC30" s="130"/>
      <c r="ID30" s="130"/>
      <c r="IE30" s="130"/>
      <c r="IF30" s="130"/>
      <c r="IG30" s="130"/>
      <c r="IH30" s="130"/>
      <c r="II30" s="130"/>
      <c r="IJ30" s="130"/>
      <c r="IK30" s="130"/>
      <c r="IL30" s="130"/>
      <c r="IM30" s="130"/>
      <c r="IN30" s="130"/>
      <c r="IO30" s="130"/>
      <c r="IP30" s="130"/>
      <c r="IQ30" s="130"/>
      <c r="IR30" s="130"/>
      <c r="IS30" s="130"/>
      <c r="IT30" s="130"/>
      <c r="IU30" s="130"/>
      <c r="IV30" s="130"/>
    </row>
    <row r="31" ht="18.95" customHeight="1" spans="1:256">
      <c r="A31" s="132" t="s">
        <v>1262</v>
      </c>
      <c r="B31" s="133">
        <v>27</v>
      </c>
      <c r="C31" s="138" t="s">
        <v>1238</v>
      </c>
      <c r="D31" s="129"/>
      <c r="E31" s="129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BY31" s="130"/>
      <c r="BZ31" s="130"/>
      <c r="CA31" s="130"/>
      <c r="CB31" s="130"/>
      <c r="CC31" s="130"/>
      <c r="CD31" s="130"/>
      <c r="CE31" s="130"/>
      <c r="CF31" s="130"/>
      <c r="CG31" s="130"/>
      <c r="CH31" s="130"/>
      <c r="CI31" s="130"/>
      <c r="CJ31" s="130"/>
      <c r="CK31" s="130"/>
      <c r="CL31" s="130"/>
      <c r="CM31" s="130"/>
      <c r="CN31" s="130"/>
      <c r="CO31" s="130"/>
      <c r="CP31" s="130"/>
      <c r="CQ31" s="130"/>
      <c r="CR31" s="130"/>
      <c r="CS31" s="130"/>
      <c r="CT31" s="130"/>
      <c r="CU31" s="130"/>
      <c r="CV31" s="130"/>
      <c r="CW31" s="130"/>
      <c r="CX31" s="130"/>
      <c r="CY31" s="130"/>
      <c r="CZ31" s="130"/>
      <c r="DA31" s="130"/>
      <c r="DB31" s="130"/>
      <c r="DC31" s="130"/>
      <c r="DD31" s="130"/>
      <c r="DE31" s="130"/>
      <c r="DF31" s="130"/>
      <c r="DG31" s="130"/>
      <c r="DH31" s="130"/>
      <c r="DI31" s="130"/>
      <c r="DJ31" s="130"/>
      <c r="DK31" s="130"/>
      <c r="DL31" s="130"/>
      <c r="DM31" s="130"/>
      <c r="DN31" s="130"/>
      <c r="DO31" s="130"/>
      <c r="DP31" s="130"/>
      <c r="DQ31" s="130"/>
      <c r="DR31" s="130"/>
      <c r="DS31" s="130"/>
      <c r="DT31" s="130"/>
      <c r="DU31" s="130"/>
      <c r="DV31" s="130"/>
      <c r="DW31" s="130"/>
      <c r="DX31" s="130"/>
      <c r="DY31" s="130"/>
      <c r="DZ31" s="130"/>
      <c r="EA31" s="130"/>
      <c r="EB31" s="130"/>
      <c r="EC31" s="130"/>
      <c r="ED31" s="130"/>
      <c r="EE31" s="130"/>
      <c r="EF31" s="130"/>
      <c r="EG31" s="130"/>
      <c r="EH31" s="130"/>
      <c r="EI31" s="130"/>
      <c r="EJ31" s="130"/>
      <c r="EK31" s="130"/>
      <c r="EL31" s="130"/>
      <c r="EM31" s="130"/>
      <c r="EN31" s="130"/>
      <c r="EO31" s="130"/>
      <c r="EP31" s="130"/>
      <c r="EQ31" s="130"/>
      <c r="ER31" s="130"/>
      <c r="ES31" s="130"/>
      <c r="ET31" s="130"/>
      <c r="EU31" s="130"/>
      <c r="EV31" s="130"/>
      <c r="EW31" s="130"/>
      <c r="EX31" s="130"/>
      <c r="EY31" s="130"/>
      <c r="EZ31" s="130"/>
      <c r="FA31" s="130"/>
      <c r="FB31" s="130"/>
      <c r="FC31" s="130"/>
      <c r="FD31" s="130"/>
      <c r="FE31" s="130"/>
      <c r="FF31" s="130"/>
      <c r="FG31" s="130"/>
      <c r="FH31" s="130"/>
      <c r="FI31" s="130"/>
      <c r="FJ31" s="130"/>
      <c r="FK31" s="130"/>
      <c r="FL31" s="130"/>
      <c r="FM31" s="130"/>
      <c r="FN31" s="130"/>
      <c r="FO31" s="130"/>
      <c r="FP31" s="130"/>
      <c r="FQ31" s="130"/>
      <c r="FR31" s="130"/>
      <c r="FS31" s="130"/>
      <c r="FT31" s="130"/>
      <c r="FU31" s="130"/>
      <c r="FV31" s="130"/>
      <c r="FW31" s="130"/>
      <c r="FX31" s="130"/>
      <c r="FY31" s="130"/>
      <c r="FZ31" s="130"/>
      <c r="GA31" s="130"/>
      <c r="GB31" s="130"/>
      <c r="GC31" s="130"/>
      <c r="GD31" s="130"/>
      <c r="GE31" s="130"/>
      <c r="GF31" s="130"/>
      <c r="GG31" s="130"/>
      <c r="GH31" s="130"/>
      <c r="GI31" s="130"/>
      <c r="GJ31" s="130"/>
      <c r="GK31" s="130"/>
      <c r="GL31" s="130"/>
      <c r="GM31" s="130"/>
      <c r="GN31" s="130"/>
      <c r="GO31" s="130"/>
      <c r="GP31" s="130"/>
      <c r="GQ31" s="130"/>
      <c r="GR31" s="130"/>
      <c r="GS31" s="130"/>
      <c r="GT31" s="130"/>
      <c r="GU31" s="130"/>
      <c r="GV31" s="130"/>
      <c r="GW31" s="130"/>
      <c r="GX31" s="130"/>
      <c r="GY31" s="130"/>
      <c r="GZ31" s="130"/>
      <c r="HA31" s="130"/>
      <c r="HB31" s="130"/>
      <c r="HC31" s="130"/>
      <c r="HD31" s="130"/>
      <c r="HE31" s="130"/>
      <c r="HF31" s="130"/>
      <c r="HG31" s="130"/>
      <c r="HH31" s="130"/>
      <c r="HI31" s="130"/>
      <c r="HJ31" s="130"/>
      <c r="HK31" s="130"/>
      <c r="HL31" s="130"/>
      <c r="HM31" s="130"/>
      <c r="HN31" s="130"/>
      <c r="HO31" s="130"/>
      <c r="HP31" s="130"/>
      <c r="HQ31" s="130"/>
      <c r="HR31" s="130"/>
      <c r="HS31" s="130"/>
      <c r="HT31" s="130"/>
      <c r="HU31" s="130"/>
      <c r="HV31" s="130"/>
      <c r="HW31" s="130"/>
      <c r="HX31" s="130"/>
      <c r="HY31" s="130"/>
      <c r="HZ31" s="130"/>
      <c r="IA31" s="130"/>
      <c r="IB31" s="130"/>
      <c r="IC31" s="130"/>
      <c r="ID31" s="130"/>
      <c r="IE31" s="130"/>
      <c r="IF31" s="130"/>
      <c r="IG31" s="130"/>
      <c r="IH31" s="130"/>
      <c r="II31" s="130"/>
      <c r="IJ31" s="130"/>
      <c r="IK31" s="130"/>
      <c r="IL31" s="130"/>
      <c r="IM31" s="130"/>
      <c r="IN31" s="130"/>
      <c r="IO31" s="130"/>
      <c r="IP31" s="130"/>
      <c r="IQ31" s="130"/>
      <c r="IR31" s="130"/>
      <c r="IS31" s="130"/>
      <c r="IT31" s="130"/>
      <c r="IU31" s="130"/>
      <c r="IV31" s="130"/>
    </row>
    <row r="32" ht="18.95" customHeight="1" spans="1:256">
      <c r="A32" s="134" t="s">
        <v>1263</v>
      </c>
      <c r="B32" s="135">
        <v>28</v>
      </c>
      <c r="C32" s="142" t="s">
        <v>1264</v>
      </c>
      <c r="D32" s="129"/>
      <c r="E32" s="129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  <c r="CY32" s="130"/>
      <c r="CZ32" s="130"/>
      <c r="DA32" s="130"/>
      <c r="DB32" s="130"/>
      <c r="DC32" s="130"/>
      <c r="DD32" s="130"/>
      <c r="DE32" s="130"/>
      <c r="DF32" s="130"/>
      <c r="DG32" s="130"/>
      <c r="DH32" s="130"/>
      <c r="DI32" s="130"/>
      <c r="DJ32" s="130"/>
      <c r="DK32" s="130"/>
      <c r="DL32" s="130"/>
      <c r="DM32" s="130"/>
      <c r="DN32" s="130"/>
      <c r="DO32" s="130"/>
      <c r="DP32" s="130"/>
      <c r="DQ32" s="130"/>
      <c r="DR32" s="130"/>
      <c r="DS32" s="130"/>
      <c r="DT32" s="130"/>
      <c r="DU32" s="130"/>
      <c r="DV32" s="130"/>
      <c r="DW32" s="130"/>
      <c r="DX32" s="130"/>
      <c r="DY32" s="130"/>
      <c r="DZ32" s="130"/>
      <c r="EA32" s="130"/>
      <c r="EB32" s="130"/>
      <c r="EC32" s="130"/>
      <c r="ED32" s="130"/>
      <c r="EE32" s="130"/>
      <c r="EF32" s="130"/>
      <c r="EG32" s="130"/>
      <c r="EH32" s="130"/>
      <c r="EI32" s="130"/>
      <c r="EJ32" s="130"/>
      <c r="EK32" s="130"/>
      <c r="EL32" s="130"/>
      <c r="EM32" s="130"/>
      <c r="EN32" s="130"/>
      <c r="EO32" s="130"/>
      <c r="EP32" s="130"/>
      <c r="EQ32" s="130"/>
      <c r="ER32" s="130"/>
      <c r="ES32" s="130"/>
      <c r="ET32" s="130"/>
      <c r="EU32" s="130"/>
      <c r="EV32" s="130"/>
      <c r="EW32" s="130"/>
      <c r="EX32" s="130"/>
      <c r="EY32" s="130"/>
      <c r="EZ32" s="130"/>
      <c r="FA32" s="130"/>
      <c r="FB32" s="130"/>
      <c r="FC32" s="130"/>
      <c r="FD32" s="130"/>
      <c r="FE32" s="130"/>
      <c r="FF32" s="130"/>
      <c r="FG32" s="130"/>
      <c r="FH32" s="130"/>
      <c r="FI32" s="130"/>
      <c r="FJ32" s="130"/>
      <c r="FK32" s="130"/>
      <c r="FL32" s="130"/>
      <c r="FM32" s="130"/>
      <c r="FN32" s="130"/>
      <c r="FO32" s="130"/>
      <c r="FP32" s="130"/>
      <c r="FQ32" s="130"/>
      <c r="FR32" s="130"/>
      <c r="FS32" s="130"/>
      <c r="FT32" s="130"/>
      <c r="FU32" s="130"/>
      <c r="FV32" s="130"/>
      <c r="FW32" s="130"/>
      <c r="FX32" s="130"/>
      <c r="FY32" s="130"/>
      <c r="FZ32" s="130"/>
      <c r="GA32" s="130"/>
      <c r="GB32" s="130"/>
      <c r="GC32" s="130"/>
      <c r="GD32" s="130"/>
      <c r="GE32" s="130"/>
      <c r="GF32" s="130"/>
      <c r="GG32" s="130"/>
      <c r="GH32" s="130"/>
      <c r="GI32" s="130"/>
      <c r="GJ32" s="130"/>
      <c r="GK32" s="130"/>
      <c r="GL32" s="130"/>
      <c r="GM32" s="130"/>
      <c r="GN32" s="130"/>
      <c r="GO32" s="130"/>
      <c r="GP32" s="130"/>
      <c r="GQ32" s="130"/>
      <c r="GR32" s="130"/>
      <c r="GS32" s="130"/>
      <c r="GT32" s="130"/>
      <c r="GU32" s="130"/>
      <c r="GV32" s="130"/>
      <c r="GW32" s="130"/>
      <c r="GX32" s="130"/>
      <c r="GY32" s="130"/>
      <c r="GZ32" s="130"/>
      <c r="HA32" s="130"/>
      <c r="HB32" s="130"/>
      <c r="HC32" s="130"/>
      <c r="HD32" s="130"/>
      <c r="HE32" s="130"/>
      <c r="HF32" s="130"/>
      <c r="HG32" s="130"/>
      <c r="HH32" s="130"/>
      <c r="HI32" s="130"/>
      <c r="HJ32" s="130"/>
      <c r="HK32" s="130"/>
      <c r="HL32" s="130"/>
      <c r="HM32" s="130"/>
      <c r="HN32" s="130"/>
      <c r="HO32" s="130"/>
      <c r="HP32" s="130"/>
      <c r="HQ32" s="130"/>
      <c r="HR32" s="130"/>
      <c r="HS32" s="130"/>
      <c r="HT32" s="130"/>
      <c r="HU32" s="130"/>
      <c r="HV32" s="130"/>
      <c r="HW32" s="130"/>
      <c r="HX32" s="130"/>
      <c r="HY32" s="130"/>
      <c r="HZ32" s="130"/>
      <c r="IA32" s="130"/>
      <c r="IB32" s="130"/>
      <c r="IC32" s="130"/>
      <c r="ID32" s="130"/>
      <c r="IE32" s="130"/>
      <c r="IF32" s="130"/>
      <c r="IG32" s="130"/>
      <c r="IH32" s="130"/>
      <c r="II32" s="130"/>
      <c r="IJ32" s="130"/>
      <c r="IK32" s="130"/>
      <c r="IL32" s="130"/>
      <c r="IM32" s="130"/>
      <c r="IN32" s="130"/>
      <c r="IO32" s="130"/>
      <c r="IP32" s="130"/>
      <c r="IQ32" s="130"/>
      <c r="IR32" s="130"/>
      <c r="IS32" s="130"/>
      <c r="IT32" s="130"/>
      <c r="IU32" s="130"/>
      <c r="IV32" s="130"/>
    </row>
    <row r="33" ht="18.95" customHeight="1" spans="1:256">
      <c r="A33" s="134" t="s">
        <v>1265</v>
      </c>
      <c r="B33" s="135">
        <v>29</v>
      </c>
      <c r="C33" s="144"/>
      <c r="D33" s="145"/>
      <c r="E33" s="145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6"/>
      <c r="BZ33" s="146"/>
      <c r="CA33" s="146"/>
      <c r="CB33" s="146"/>
      <c r="CC33" s="146"/>
      <c r="CD33" s="146"/>
      <c r="CE33" s="146"/>
      <c r="CF33" s="146"/>
      <c r="CG33" s="146"/>
      <c r="CH33" s="146"/>
      <c r="CI33" s="146"/>
      <c r="CJ33" s="146"/>
      <c r="CK33" s="146"/>
      <c r="CL33" s="146"/>
      <c r="CM33" s="146"/>
      <c r="CN33" s="146"/>
      <c r="CO33" s="146"/>
      <c r="CP33" s="146"/>
      <c r="CQ33" s="146"/>
      <c r="CR33" s="146"/>
      <c r="CS33" s="146"/>
      <c r="CT33" s="146"/>
      <c r="CU33" s="146"/>
      <c r="CV33" s="146"/>
      <c r="CW33" s="146"/>
      <c r="CX33" s="146"/>
      <c r="CY33" s="146"/>
      <c r="CZ33" s="146"/>
      <c r="DA33" s="146"/>
      <c r="DB33" s="146"/>
      <c r="DC33" s="146"/>
      <c r="DD33" s="146"/>
      <c r="DE33" s="146"/>
      <c r="DF33" s="146"/>
      <c r="DG33" s="146"/>
      <c r="DH33" s="146"/>
      <c r="DI33" s="146"/>
      <c r="DJ33" s="146"/>
      <c r="DK33" s="146"/>
      <c r="DL33" s="146"/>
      <c r="DM33" s="146"/>
      <c r="DN33" s="146"/>
      <c r="DO33" s="146"/>
      <c r="DP33" s="146"/>
      <c r="DQ33" s="146"/>
      <c r="DR33" s="146"/>
      <c r="DS33" s="146"/>
      <c r="DT33" s="146"/>
      <c r="DU33" s="146"/>
      <c r="DV33" s="146"/>
      <c r="DW33" s="146"/>
      <c r="DX33" s="146"/>
      <c r="DY33" s="146"/>
      <c r="DZ33" s="146"/>
      <c r="EA33" s="146"/>
      <c r="EB33" s="146"/>
      <c r="EC33" s="146"/>
      <c r="ED33" s="146"/>
      <c r="EE33" s="146"/>
      <c r="EF33" s="146"/>
      <c r="EG33" s="146"/>
      <c r="EH33" s="146"/>
      <c r="EI33" s="146"/>
      <c r="EJ33" s="146"/>
      <c r="EK33" s="146"/>
      <c r="EL33" s="146"/>
      <c r="EM33" s="146"/>
      <c r="EN33" s="146"/>
      <c r="EO33" s="146"/>
      <c r="EP33" s="146"/>
      <c r="EQ33" s="146"/>
      <c r="ER33" s="146"/>
      <c r="ES33" s="146"/>
      <c r="ET33" s="146"/>
      <c r="EU33" s="146"/>
      <c r="EV33" s="146"/>
      <c r="EW33" s="146"/>
      <c r="EX33" s="146"/>
      <c r="EY33" s="146"/>
      <c r="EZ33" s="146"/>
      <c r="FA33" s="146"/>
      <c r="FB33" s="146"/>
      <c r="FC33" s="146"/>
      <c r="FD33" s="146"/>
      <c r="FE33" s="146"/>
      <c r="FF33" s="146"/>
      <c r="FG33" s="146"/>
      <c r="FH33" s="146"/>
      <c r="FI33" s="146"/>
      <c r="FJ33" s="146"/>
      <c r="FK33" s="146"/>
      <c r="FL33" s="146"/>
      <c r="FM33" s="146"/>
      <c r="FN33" s="146"/>
      <c r="FO33" s="146"/>
      <c r="FP33" s="146"/>
      <c r="FQ33" s="146"/>
      <c r="FR33" s="146"/>
      <c r="FS33" s="146"/>
      <c r="FT33" s="146"/>
      <c r="FU33" s="146"/>
      <c r="FV33" s="146"/>
      <c r="FW33" s="146"/>
      <c r="FX33" s="146"/>
      <c r="FY33" s="146"/>
      <c r="FZ33" s="146"/>
      <c r="GA33" s="146"/>
      <c r="GB33" s="146"/>
      <c r="GC33" s="146"/>
      <c r="GD33" s="146"/>
      <c r="GE33" s="146"/>
      <c r="GF33" s="146"/>
      <c r="GG33" s="146"/>
      <c r="GH33" s="146"/>
      <c r="GI33" s="146"/>
      <c r="GJ33" s="146"/>
      <c r="GK33" s="146"/>
      <c r="GL33" s="146"/>
      <c r="GM33" s="146"/>
      <c r="GN33" s="146"/>
      <c r="GO33" s="146"/>
      <c r="GP33" s="146"/>
      <c r="GQ33" s="146"/>
      <c r="GR33" s="146"/>
      <c r="GS33" s="146"/>
      <c r="GT33" s="146"/>
      <c r="GU33" s="146"/>
      <c r="GV33" s="146"/>
      <c r="GW33" s="146"/>
      <c r="GX33" s="146"/>
      <c r="GY33" s="146"/>
      <c r="GZ33" s="146"/>
      <c r="HA33" s="146"/>
      <c r="HB33" s="146"/>
      <c r="HC33" s="146"/>
      <c r="HD33" s="146"/>
      <c r="HE33" s="146"/>
      <c r="HF33" s="146"/>
      <c r="HG33" s="146"/>
      <c r="HH33" s="146"/>
      <c r="HI33" s="146"/>
      <c r="HJ33" s="146"/>
      <c r="HK33" s="146"/>
      <c r="HL33" s="146"/>
      <c r="HM33" s="146"/>
      <c r="HN33" s="146"/>
      <c r="HO33" s="146"/>
      <c r="HP33" s="146"/>
      <c r="HQ33" s="146"/>
      <c r="HR33" s="146"/>
      <c r="HS33" s="146"/>
      <c r="HT33" s="146"/>
      <c r="HU33" s="146"/>
      <c r="HV33" s="146"/>
      <c r="HW33" s="146"/>
      <c r="HX33" s="146"/>
      <c r="HY33" s="146"/>
      <c r="HZ33" s="146"/>
      <c r="IA33" s="146"/>
      <c r="IB33" s="146"/>
      <c r="IC33" s="146"/>
      <c r="ID33" s="146"/>
      <c r="IE33" s="146"/>
      <c r="IF33" s="146"/>
      <c r="IG33" s="146"/>
      <c r="IH33" s="146"/>
      <c r="II33" s="146"/>
      <c r="IJ33" s="146"/>
      <c r="IK33" s="146"/>
      <c r="IL33" s="146"/>
      <c r="IM33" s="146"/>
      <c r="IN33" s="146"/>
      <c r="IO33" s="146"/>
      <c r="IP33" s="146"/>
      <c r="IQ33" s="146"/>
      <c r="IR33" s="146"/>
      <c r="IS33" s="146"/>
      <c r="IT33" s="146"/>
      <c r="IU33" s="146"/>
      <c r="IV33" s="146"/>
    </row>
    <row r="34" ht="18.95" customHeight="1" spans="1:256">
      <c r="A34" s="147" t="s">
        <v>1266</v>
      </c>
      <c r="B34" s="133">
        <v>30</v>
      </c>
      <c r="C34" s="148"/>
      <c r="D34" s="129"/>
      <c r="E34" s="129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0"/>
      <c r="CM34" s="130"/>
      <c r="CN34" s="130"/>
      <c r="CO34" s="130"/>
      <c r="CP34" s="130"/>
      <c r="CQ34" s="130"/>
      <c r="CR34" s="130"/>
      <c r="CS34" s="130"/>
      <c r="CT34" s="130"/>
      <c r="CU34" s="130"/>
      <c r="CV34" s="130"/>
      <c r="CW34" s="130"/>
      <c r="CX34" s="130"/>
      <c r="CY34" s="130"/>
      <c r="CZ34" s="130"/>
      <c r="DA34" s="130"/>
      <c r="DB34" s="130"/>
      <c r="DC34" s="130"/>
      <c r="DD34" s="130"/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0"/>
      <c r="DS34" s="130"/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  <c r="EG34" s="130"/>
      <c r="EH34" s="130"/>
      <c r="EI34" s="130"/>
      <c r="EJ34" s="130"/>
      <c r="EK34" s="130"/>
      <c r="EL34" s="130"/>
      <c r="EM34" s="130"/>
      <c r="EN34" s="130"/>
      <c r="EO34" s="130"/>
      <c r="EP34" s="130"/>
      <c r="EQ34" s="130"/>
      <c r="ER34" s="130"/>
      <c r="ES34" s="130"/>
      <c r="ET34" s="130"/>
      <c r="EU34" s="130"/>
      <c r="EV34" s="130"/>
      <c r="EW34" s="130"/>
      <c r="EX34" s="130"/>
      <c r="EY34" s="130"/>
      <c r="EZ34" s="130"/>
      <c r="FA34" s="130"/>
      <c r="FB34" s="130"/>
      <c r="FC34" s="130"/>
      <c r="FD34" s="130"/>
      <c r="FE34" s="130"/>
      <c r="FF34" s="130"/>
      <c r="FG34" s="130"/>
      <c r="FH34" s="130"/>
      <c r="FI34" s="130"/>
      <c r="FJ34" s="130"/>
      <c r="FK34" s="130"/>
      <c r="FL34" s="130"/>
      <c r="FM34" s="130"/>
      <c r="FN34" s="130"/>
      <c r="FO34" s="130"/>
      <c r="FP34" s="130"/>
      <c r="FQ34" s="130"/>
      <c r="FR34" s="130"/>
      <c r="FS34" s="130"/>
      <c r="FT34" s="130"/>
      <c r="FU34" s="130"/>
      <c r="FV34" s="130"/>
      <c r="FW34" s="130"/>
      <c r="FX34" s="130"/>
      <c r="FY34" s="130"/>
      <c r="FZ34" s="130"/>
      <c r="GA34" s="130"/>
      <c r="GB34" s="130"/>
      <c r="GC34" s="130"/>
      <c r="GD34" s="130"/>
      <c r="GE34" s="130"/>
      <c r="GF34" s="130"/>
      <c r="GG34" s="130"/>
      <c r="GH34" s="130"/>
      <c r="GI34" s="130"/>
      <c r="GJ34" s="130"/>
      <c r="GK34" s="130"/>
      <c r="GL34" s="130"/>
      <c r="GM34" s="130"/>
      <c r="GN34" s="130"/>
      <c r="GO34" s="130"/>
      <c r="GP34" s="130"/>
      <c r="GQ34" s="130"/>
      <c r="GR34" s="130"/>
      <c r="GS34" s="130"/>
      <c r="GT34" s="130"/>
      <c r="GU34" s="130"/>
      <c r="GV34" s="130"/>
      <c r="GW34" s="130"/>
      <c r="GX34" s="130"/>
      <c r="GY34" s="130"/>
      <c r="GZ34" s="130"/>
      <c r="HA34" s="130"/>
      <c r="HB34" s="130"/>
      <c r="HC34" s="130"/>
      <c r="HD34" s="130"/>
      <c r="HE34" s="130"/>
      <c r="HF34" s="130"/>
      <c r="HG34" s="130"/>
      <c r="HH34" s="130"/>
      <c r="HI34" s="130"/>
      <c r="HJ34" s="130"/>
      <c r="HK34" s="130"/>
      <c r="HL34" s="130"/>
      <c r="HM34" s="130"/>
      <c r="HN34" s="130"/>
      <c r="HO34" s="130"/>
      <c r="HP34" s="130"/>
      <c r="HQ34" s="130"/>
      <c r="HR34" s="130"/>
      <c r="HS34" s="130"/>
      <c r="HT34" s="130"/>
      <c r="HU34" s="130"/>
      <c r="HV34" s="130"/>
      <c r="HW34" s="130"/>
      <c r="HX34" s="130"/>
      <c r="HY34" s="130"/>
      <c r="HZ34" s="130"/>
      <c r="IA34" s="130"/>
      <c r="IB34" s="130"/>
      <c r="IC34" s="130"/>
      <c r="ID34" s="130"/>
      <c r="IE34" s="130"/>
      <c r="IF34" s="130"/>
      <c r="IG34" s="130"/>
      <c r="IH34" s="130"/>
      <c r="II34" s="130"/>
      <c r="IJ34" s="130"/>
      <c r="IK34" s="130"/>
      <c r="IL34" s="130"/>
      <c r="IM34" s="130"/>
      <c r="IN34" s="130"/>
      <c r="IO34" s="130"/>
      <c r="IP34" s="130"/>
      <c r="IQ34" s="130"/>
      <c r="IR34" s="130"/>
      <c r="IS34" s="130"/>
      <c r="IT34" s="130"/>
      <c r="IU34" s="130"/>
      <c r="IV34" s="130"/>
    </row>
    <row r="35" ht="18.95" customHeight="1" spans="1:256">
      <c r="A35" s="149" t="s">
        <v>1267</v>
      </c>
      <c r="B35" s="135">
        <v>31</v>
      </c>
      <c r="C35" s="150"/>
      <c r="D35" s="129"/>
      <c r="E35" s="129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/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130"/>
      <c r="CL35" s="130"/>
      <c r="CM35" s="130"/>
      <c r="CN35" s="130"/>
      <c r="CO35" s="130"/>
      <c r="CP35" s="130"/>
      <c r="CQ35" s="130"/>
      <c r="CR35" s="130"/>
      <c r="CS35" s="130"/>
      <c r="CT35" s="130"/>
      <c r="CU35" s="130"/>
      <c r="CV35" s="130"/>
      <c r="CW35" s="130"/>
      <c r="CX35" s="130"/>
      <c r="CY35" s="130"/>
      <c r="CZ35" s="130"/>
      <c r="DA35" s="130"/>
      <c r="DB35" s="130"/>
      <c r="DC35" s="130"/>
      <c r="DD35" s="130"/>
      <c r="DE35" s="130"/>
      <c r="DF35" s="130"/>
      <c r="DG35" s="130"/>
      <c r="DH35" s="130"/>
      <c r="DI35" s="130"/>
      <c r="DJ35" s="130"/>
      <c r="DK35" s="130"/>
      <c r="DL35" s="130"/>
      <c r="DM35" s="130"/>
      <c r="DN35" s="130"/>
      <c r="DO35" s="130"/>
      <c r="DP35" s="130"/>
      <c r="DQ35" s="130"/>
      <c r="DR35" s="130"/>
      <c r="DS35" s="130"/>
      <c r="DT35" s="130"/>
      <c r="DU35" s="130"/>
      <c r="DV35" s="130"/>
      <c r="DW35" s="130"/>
      <c r="DX35" s="130"/>
      <c r="DY35" s="130"/>
      <c r="DZ35" s="130"/>
      <c r="EA35" s="130"/>
      <c r="EB35" s="130"/>
      <c r="EC35" s="130"/>
      <c r="ED35" s="130"/>
      <c r="EE35" s="130"/>
      <c r="EF35" s="130"/>
      <c r="EG35" s="130"/>
      <c r="EH35" s="130"/>
      <c r="EI35" s="130"/>
      <c r="EJ35" s="130"/>
      <c r="EK35" s="130"/>
      <c r="EL35" s="130"/>
      <c r="EM35" s="130"/>
      <c r="EN35" s="130"/>
      <c r="EO35" s="130"/>
      <c r="EP35" s="130"/>
      <c r="EQ35" s="130"/>
      <c r="ER35" s="130"/>
      <c r="ES35" s="130"/>
      <c r="ET35" s="130"/>
      <c r="EU35" s="130"/>
      <c r="EV35" s="130"/>
      <c r="EW35" s="130"/>
      <c r="EX35" s="130"/>
      <c r="EY35" s="130"/>
      <c r="EZ35" s="130"/>
      <c r="FA35" s="130"/>
      <c r="FB35" s="130"/>
      <c r="FC35" s="130"/>
      <c r="FD35" s="130"/>
      <c r="FE35" s="130"/>
      <c r="FF35" s="130"/>
      <c r="FG35" s="130"/>
      <c r="FH35" s="130"/>
      <c r="FI35" s="130"/>
      <c r="FJ35" s="130"/>
      <c r="FK35" s="130"/>
      <c r="FL35" s="130"/>
      <c r="FM35" s="130"/>
      <c r="FN35" s="130"/>
      <c r="FO35" s="130"/>
      <c r="FP35" s="130"/>
      <c r="FQ35" s="130"/>
      <c r="FR35" s="130"/>
      <c r="FS35" s="130"/>
      <c r="FT35" s="130"/>
      <c r="FU35" s="130"/>
      <c r="FV35" s="130"/>
      <c r="FW35" s="130"/>
      <c r="FX35" s="130"/>
      <c r="FY35" s="130"/>
      <c r="FZ35" s="130"/>
      <c r="GA35" s="130"/>
      <c r="GB35" s="130"/>
      <c r="GC35" s="130"/>
      <c r="GD35" s="130"/>
      <c r="GE35" s="130"/>
      <c r="GF35" s="130"/>
      <c r="GG35" s="130"/>
      <c r="GH35" s="130"/>
      <c r="GI35" s="130"/>
      <c r="GJ35" s="130"/>
      <c r="GK35" s="130"/>
      <c r="GL35" s="130"/>
      <c r="GM35" s="130"/>
      <c r="GN35" s="130"/>
      <c r="GO35" s="130"/>
      <c r="GP35" s="130"/>
      <c r="GQ35" s="130"/>
      <c r="GR35" s="130"/>
      <c r="GS35" s="130"/>
      <c r="GT35" s="130"/>
      <c r="GU35" s="130"/>
      <c r="GV35" s="130"/>
      <c r="GW35" s="130"/>
      <c r="GX35" s="130"/>
      <c r="GY35" s="130"/>
      <c r="GZ35" s="130"/>
      <c r="HA35" s="130"/>
      <c r="HB35" s="130"/>
      <c r="HC35" s="130"/>
      <c r="HD35" s="130"/>
      <c r="HE35" s="130"/>
      <c r="HF35" s="130"/>
      <c r="HG35" s="130"/>
      <c r="HH35" s="130"/>
      <c r="HI35" s="130"/>
      <c r="HJ35" s="130"/>
      <c r="HK35" s="130"/>
      <c r="HL35" s="130"/>
      <c r="HM35" s="130"/>
      <c r="HN35" s="130"/>
      <c r="HO35" s="130"/>
      <c r="HP35" s="130"/>
      <c r="HQ35" s="130"/>
      <c r="HR35" s="130"/>
      <c r="HS35" s="130"/>
      <c r="HT35" s="130"/>
      <c r="HU35" s="130"/>
      <c r="HV35" s="130"/>
      <c r="HW35" s="130"/>
      <c r="HX35" s="130"/>
      <c r="HY35" s="130"/>
      <c r="HZ35" s="130"/>
      <c r="IA35" s="130"/>
      <c r="IB35" s="130"/>
      <c r="IC35" s="130"/>
      <c r="ID35" s="130"/>
      <c r="IE35" s="130"/>
      <c r="IF35" s="130"/>
      <c r="IG35" s="130"/>
      <c r="IH35" s="130"/>
      <c r="II35" s="130"/>
      <c r="IJ35" s="130"/>
      <c r="IK35" s="130"/>
      <c r="IL35" s="130"/>
      <c r="IM35" s="130"/>
      <c r="IN35" s="130"/>
      <c r="IO35" s="130"/>
      <c r="IP35" s="130"/>
      <c r="IQ35" s="130"/>
      <c r="IR35" s="130"/>
      <c r="IS35" s="130"/>
      <c r="IT35" s="130"/>
      <c r="IU35" s="130"/>
      <c r="IV35" s="130"/>
    </row>
    <row r="36" ht="18.95" customHeight="1" spans="1:3">
      <c r="A36" s="149" t="s">
        <v>1268</v>
      </c>
      <c r="B36" s="135">
        <v>32</v>
      </c>
      <c r="C36" s="150"/>
    </row>
  </sheetData>
  <mergeCells count="1">
    <mergeCell ref="A2:C2"/>
  </mergeCells>
  <printOptions horizontalCentered="1" verticalCentered="1"/>
  <pageMargins left="0.708333333333333" right="0.708333333333333" top="0.747916666666667" bottom="0.747916666666667" header="0.314583333333333" footer="0.590277777777778"/>
  <pageSetup paperSize="9" firstPageNumber="56" orientation="portrait" useFirstPageNumber="1" horizontalDpi="600"/>
  <headerFooter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workbookViewId="0">
      <selection activeCell="A2" sqref="A2:K4"/>
    </sheetView>
  </sheetViews>
  <sheetFormatPr defaultColWidth="9" defaultRowHeight="15"/>
  <cols>
    <col min="3" max="5" width="9.25" style="111"/>
    <col min="11" max="11" width="21.25" customWidth="1"/>
  </cols>
  <sheetData>
    <row r="1" s="110" customFormat="1" ht="24" customHeight="1" spans="3:5">
      <c r="C1" s="37"/>
      <c r="D1" s="37"/>
      <c r="E1" s="37"/>
    </row>
    <row r="2" s="110" customFormat="1" ht="42" customHeight="1" spans="1:11">
      <c r="A2" s="112" t="s">
        <v>1269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="110" customFormat="1" ht="13.5" spans="1:11">
      <c r="A3" s="113"/>
      <c r="B3" s="113"/>
      <c r="C3" s="114"/>
      <c r="D3" s="114"/>
      <c r="E3" s="114"/>
      <c r="F3" s="113"/>
      <c r="G3" s="113"/>
      <c r="H3" s="113"/>
      <c r="I3" s="113"/>
      <c r="J3" s="113"/>
      <c r="K3" s="113"/>
    </row>
    <row r="4" s="110" customFormat="1" ht="26.5" spans="1:11">
      <c r="A4" s="112" t="s">
        <v>1270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="110" customFormat="1" ht="32.25" customHeight="1" spans="3:5">
      <c r="C5" s="37"/>
      <c r="D5" s="37"/>
      <c r="E5" s="37"/>
    </row>
    <row r="6" s="110" customFormat="1" ht="32.25" customHeight="1" spans="3:5">
      <c r="C6" s="37"/>
      <c r="D6" s="37"/>
      <c r="E6" s="37"/>
    </row>
    <row r="7" s="110" customFormat="1" ht="16.5" customHeight="1" spans="3:5">
      <c r="C7" s="37"/>
      <c r="D7" s="37"/>
      <c r="E7" s="37"/>
    </row>
    <row r="8" s="110" customFormat="1" ht="14.25" customHeight="1" spans="3:5">
      <c r="C8" s="37"/>
      <c r="D8" s="37"/>
      <c r="E8" s="37"/>
    </row>
    <row r="9" s="110" customFormat="1" ht="32.25" hidden="1" customHeight="1" spans="3:5">
      <c r="C9" s="37"/>
      <c r="D9" s="37"/>
      <c r="E9" s="37"/>
    </row>
    <row r="10" s="110" customFormat="1" ht="32.25" customHeight="1" spans="3:5">
      <c r="C10" s="37"/>
      <c r="D10" s="37"/>
      <c r="E10" s="37"/>
    </row>
    <row r="11" s="110" customFormat="1" ht="21" spans="1:11">
      <c r="A11" s="116" t="s">
        <v>15</v>
      </c>
      <c r="B11" s="116"/>
      <c r="C11" s="117"/>
      <c r="D11" s="117"/>
      <c r="E11" s="118" t="s">
        <v>1</v>
      </c>
      <c r="F11" s="119"/>
      <c r="G11" s="119"/>
      <c r="H11" s="116"/>
      <c r="I11" s="116"/>
      <c r="J11" s="116"/>
      <c r="K11" s="116"/>
    </row>
    <row r="12" s="110" customFormat="1" ht="18.5" spans="2:9">
      <c r="B12" s="120"/>
      <c r="C12" s="121"/>
      <c r="D12" s="121"/>
      <c r="E12" s="121"/>
      <c r="F12" s="122"/>
      <c r="G12" s="37"/>
      <c r="H12" s="37"/>
      <c r="I12" s="37"/>
    </row>
    <row r="13" s="110" customFormat="1" ht="21" spans="1:11">
      <c r="A13" s="123" t="s">
        <v>3</v>
      </c>
      <c r="B13" s="123"/>
      <c r="C13" s="124"/>
      <c r="D13" s="124"/>
      <c r="E13" s="124" t="s">
        <v>2</v>
      </c>
      <c r="F13" s="123"/>
      <c r="G13" s="123"/>
      <c r="H13" s="123"/>
      <c r="I13" s="123"/>
      <c r="J13" s="123"/>
      <c r="K13" s="123"/>
    </row>
  </sheetData>
  <mergeCells count="2">
    <mergeCell ref="A2:K2"/>
    <mergeCell ref="A4:K4"/>
  </mergeCells>
  <printOptions horizontalCentered="1"/>
  <pageMargins left="0.708333333333333" right="0.708333333333333" top="0.747916666666667" bottom="0.747916666666667" header="0.314583333333333" footer="0.590277777777778"/>
  <pageSetup paperSize="9" firstPageNumber="57" orientation="landscape" useFirstPageNumber="1" horizontalDpi="600"/>
  <headerFooter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workbookViewId="0">
      <selection activeCell="A2" sqref="A2:C2"/>
    </sheetView>
  </sheetViews>
  <sheetFormatPr defaultColWidth="9.125" defaultRowHeight="13" outlineLevelCol="4"/>
  <cols>
    <col min="1" max="1" width="9.125" style="61"/>
    <col min="2" max="2" width="85.125" style="61" customWidth="1"/>
    <col min="3" max="5" width="9.125" style="62"/>
    <col min="6" max="16384" width="9.125" style="61"/>
  </cols>
  <sheetData>
    <row r="1" spans="1:4">
      <c r="A1" s="101"/>
      <c r="B1" s="101"/>
      <c r="C1" s="102"/>
      <c r="D1" s="102"/>
    </row>
    <row r="2" ht="69.75" customHeight="1" spans="1:4">
      <c r="A2" s="103" t="s">
        <v>4</v>
      </c>
      <c r="B2" s="103"/>
      <c r="C2" s="103"/>
      <c r="D2" s="104"/>
    </row>
    <row r="3" ht="14" spans="1:4">
      <c r="A3" s="105"/>
      <c r="B3" s="105"/>
      <c r="C3" s="106"/>
      <c r="D3" s="106"/>
    </row>
    <row r="4" ht="39.95" customHeight="1" spans="1:4">
      <c r="A4" s="105"/>
      <c r="B4" s="107" t="s">
        <v>1271</v>
      </c>
      <c r="C4" s="91" t="s">
        <v>17</v>
      </c>
      <c r="D4" s="89"/>
    </row>
    <row r="5" ht="39.95" customHeight="1" spans="1:4">
      <c r="A5" s="105"/>
      <c r="B5" s="107" t="s">
        <v>1272</v>
      </c>
      <c r="C5" s="91" t="s">
        <v>19</v>
      </c>
      <c r="D5" s="89"/>
    </row>
    <row r="6" ht="39.95" customHeight="1" spans="1:5">
      <c r="A6" s="105"/>
      <c r="B6" s="107" t="s">
        <v>1273</v>
      </c>
      <c r="C6" s="91" t="s">
        <v>21</v>
      </c>
      <c r="D6" s="89"/>
      <c r="E6" s="108"/>
    </row>
    <row r="7" ht="39.95" customHeight="1" spans="1:4">
      <c r="A7" s="105"/>
      <c r="B7" s="107" t="s">
        <v>1274</v>
      </c>
      <c r="C7" s="91" t="s">
        <v>23</v>
      </c>
      <c r="D7" s="89"/>
    </row>
    <row r="8" ht="15" spans="1:4">
      <c r="A8" s="105"/>
      <c r="D8" s="89"/>
    </row>
    <row r="9" ht="15" spans="1:4">
      <c r="A9" s="105"/>
      <c r="D9" s="89"/>
    </row>
    <row r="10" ht="15" spans="1:4">
      <c r="A10" s="105"/>
      <c r="D10" s="89"/>
    </row>
    <row r="11" ht="15" spans="1:4">
      <c r="A11" s="101"/>
      <c r="B11" s="109"/>
      <c r="C11" s="89"/>
      <c r="D11" s="89"/>
    </row>
    <row r="12" ht="15" spans="1:4">
      <c r="A12" s="101"/>
      <c r="B12" s="109"/>
      <c r="C12" s="89"/>
      <c r="D12" s="89"/>
    </row>
  </sheetData>
  <mergeCells count="1">
    <mergeCell ref="A2:C2"/>
  </mergeCells>
  <printOptions horizontalCentered="1"/>
  <pageMargins left="0.708333333333333" right="0.708333333333333" top="0.747916666666667" bottom="0.786805555555556" header="0.314583333333333" footer="0.590277777777778"/>
  <pageSetup paperSize="9" firstPageNumber="58" orientation="landscape" useFirstPageNumber="1" horizontalDpi="600"/>
  <headerFooter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workbookViewId="0">
      <selection activeCell="A2" sqref="A2:D2"/>
    </sheetView>
  </sheetViews>
  <sheetFormatPr defaultColWidth="9.125" defaultRowHeight="13" outlineLevelCol="3"/>
  <cols>
    <col min="1" max="1" width="43" style="62" customWidth="1"/>
    <col min="2" max="2" width="17.875" style="62" customWidth="1"/>
    <col min="3" max="3" width="20.75" style="62" customWidth="1"/>
    <col min="4" max="4" width="16.375" style="62" customWidth="1"/>
    <col min="5" max="16384" width="9.125" style="62"/>
  </cols>
  <sheetData>
    <row r="1" ht="16.5" customHeight="1" spans="1:1">
      <c r="A1" s="38" t="s">
        <v>34</v>
      </c>
    </row>
    <row r="2" ht="26.1" customHeight="1" spans="1:4">
      <c r="A2" s="40" t="s">
        <v>1275</v>
      </c>
      <c r="B2" s="40"/>
      <c r="C2" s="40"/>
      <c r="D2" s="40"/>
    </row>
    <row r="3" ht="15.75" customHeight="1" spans="1:4">
      <c r="A3" s="91"/>
      <c r="B3" s="92"/>
      <c r="C3" s="92"/>
      <c r="D3" s="42" t="s">
        <v>36</v>
      </c>
    </row>
    <row r="4" ht="45.75" customHeight="1" spans="1:4">
      <c r="A4" s="93" t="s">
        <v>1192</v>
      </c>
      <c r="B4" s="94" t="s">
        <v>1224</v>
      </c>
      <c r="C4" s="46" t="s">
        <v>1276</v>
      </c>
      <c r="D4" s="46" t="s">
        <v>1277</v>
      </c>
    </row>
    <row r="5" ht="24.95" customHeight="1" spans="1:4">
      <c r="A5" s="95" t="s">
        <v>1278</v>
      </c>
      <c r="B5" s="96">
        <f t="shared" ref="B5:B15" si="0">C5+D5</f>
        <v>144008.414015</v>
      </c>
      <c r="C5" s="96">
        <f>C6+C7+C8+C9+C10+C11</f>
        <v>78767.156104</v>
      </c>
      <c r="D5" s="96">
        <f>D6+D8+D10+D11</f>
        <v>65241.257911</v>
      </c>
    </row>
    <row r="6" ht="24.95" customHeight="1" spans="1:4">
      <c r="A6" s="97" t="s">
        <v>1279</v>
      </c>
      <c r="B6" s="48">
        <f t="shared" si="0"/>
        <v>78103.684804</v>
      </c>
      <c r="C6" s="48">
        <f>136090000/10000</f>
        <v>13609</v>
      </c>
      <c r="D6" s="48">
        <f>644946848.04/10000</f>
        <v>64494.684804</v>
      </c>
    </row>
    <row r="7" ht="24.95" customHeight="1" spans="1:4">
      <c r="A7" s="97" t="s">
        <v>1280</v>
      </c>
      <c r="B7" s="48">
        <f t="shared" si="0"/>
        <v>59398.8</v>
      </c>
      <c r="C7" s="48">
        <f>593988000/10000</f>
        <v>59398.8</v>
      </c>
      <c r="D7" s="48"/>
    </row>
    <row r="8" ht="24.95" customHeight="1" spans="1:4">
      <c r="A8" s="98" t="s">
        <v>1281</v>
      </c>
      <c r="B8" s="48">
        <f t="shared" si="0"/>
        <v>3145.327165</v>
      </c>
      <c r="C8" s="48">
        <f>31000000/10000</f>
        <v>3100</v>
      </c>
      <c r="D8" s="48">
        <f>453271.65/10000</f>
        <v>45.327165</v>
      </c>
    </row>
    <row r="9" ht="24.95" customHeight="1" spans="1:4">
      <c r="A9" s="47" t="s">
        <v>1282</v>
      </c>
      <c r="B9" s="48">
        <f t="shared" si="0"/>
        <v>2529.356104</v>
      </c>
      <c r="C9" s="48">
        <f>25293561.04/10000</f>
        <v>2529.356104</v>
      </c>
      <c r="D9" s="48"/>
    </row>
    <row r="10" ht="24.95" customHeight="1" spans="1:4">
      <c r="A10" s="47" t="s">
        <v>1283</v>
      </c>
      <c r="B10" s="48">
        <f t="shared" si="0"/>
        <v>767.025596</v>
      </c>
      <c r="C10" s="48">
        <f>700000/10000</f>
        <v>70</v>
      </c>
      <c r="D10" s="48">
        <f>6970255.96/10000</f>
        <v>697.025596</v>
      </c>
    </row>
    <row r="11" ht="24.95" customHeight="1" spans="1:4">
      <c r="A11" s="47" t="s">
        <v>1284</v>
      </c>
      <c r="B11" s="48">
        <f t="shared" si="0"/>
        <v>64.220346</v>
      </c>
      <c r="C11" s="48">
        <f>600000/10000</f>
        <v>60</v>
      </c>
      <c r="D11" s="48">
        <f>42203.46/10000</f>
        <v>4.220346</v>
      </c>
    </row>
    <row r="12" ht="24.95" customHeight="1" spans="1:4">
      <c r="A12" s="95" t="s">
        <v>1285</v>
      </c>
      <c r="B12" s="56">
        <f t="shared" si="0"/>
        <v>124176.360046</v>
      </c>
      <c r="C12" s="96">
        <f>SUM(C13:C16)</f>
        <v>59923.349</v>
      </c>
      <c r="D12" s="96">
        <f>SUM(D13:D16)</f>
        <v>64253.011046</v>
      </c>
    </row>
    <row r="13" ht="24.95" customHeight="1" spans="1:4">
      <c r="A13" s="97" t="s">
        <v>1286</v>
      </c>
      <c r="B13" s="48">
        <f t="shared" si="0"/>
        <v>123836.515428</v>
      </c>
      <c r="C13" s="52">
        <f>598625490/10000</f>
        <v>59862.549</v>
      </c>
      <c r="D13" s="52">
        <f>639739664.28/10000</f>
        <v>63973.966428</v>
      </c>
    </row>
    <row r="14" ht="24.95" customHeight="1" spans="1:4">
      <c r="A14" s="99" t="s">
        <v>1287</v>
      </c>
      <c r="B14" s="48">
        <f t="shared" si="0"/>
        <v>328.658268</v>
      </c>
      <c r="C14" s="52">
        <f>600000/10000</f>
        <v>60</v>
      </c>
      <c r="D14" s="52">
        <f>2686582.68/10000</f>
        <v>268.658268</v>
      </c>
    </row>
    <row r="15" ht="24.95" customHeight="1" spans="1:4">
      <c r="A15" s="47" t="s">
        <v>1288</v>
      </c>
      <c r="B15" s="48">
        <f t="shared" si="0"/>
        <v>11.18635</v>
      </c>
      <c r="C15" s="52">
        <f>8000/10000</f>
        <v>0.8</v>
      </c>
      <c r="D15" s="52">
        <f>103863.5/10000</f>
        <v>10.38635</v>
      </c>
    </row>
    <row r="16" ht="24.95" customHeight="1" spans="1:4">
      <c r="A16" s="47" t="s">
        <v>1289</v>
      </c>
      <c r="B16" s="48"/>
      <c r="C16" s="51"/>
      <c r="D16" s="51"/>
    </row>
    <row r="17" ht="24.95" customHeight="1" spans="1:4">
      <c r="A17" s="95" t="s">
        <v>1290</v>
      </c>
      <c r="B17" s="56">
        <f>C17+D17</f>
        <v>19832.053969</v>
      </c>
      <c r="C17" s="100">
        <f>188438071.04/10000</f>
        <v>18843.807104</v>
      </c>
      <c r="D17" s="100">
        <f>9882468.65/10000</f>
        <v>988.246865</v>
      </c>
    </row>
    <row r="18" ht="24.95" customHeight="1" spans="1:4">
      <c r="A18" s="95" t="s">
        <v>1291</v>
      </c>
      <c r="B18" s="56">
        <f>C18+D18</f>
        <v>206944.081867</v>
      </c>
      <c r="C18" s="100">
        <f>1988604362.75/10000</f>
        <v>198860.436275</v>
      </c>
      <c r="D18" s="100">
        <f>80836455.92/10000</f>
        <v>8083.645592</v>
      </c>
    </row>
  </sheetData>
  <mergeCells count="1">
    <mergeCell ref="A2:D2"/>
  </mergeCells>
  <printOptions horizontalCentered="1"/>
  <pageMargins left="0.708333333333333" right="0.708333333333333" top="0.747916666666667" bottom="0.747916666666667" header="0.314583333333333" footer="0.590277777777778"/>
  <pageSetup paperSize="9" firstPageNumber="59" orientation="landscape" useFirstPageNumber="1" horizontalDpi="600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selection activeCell="A3" sqref="A3:K5"/>
    </sheetView>
  </sheetViews>
  <sheetFormatPr defaultColWidth="9.125" defaultRowHeight="12.5"/>
  <cols>
    <col min="1" max="2" width="11.375" style="359" customWidth="1"/>
    <col min="3" max="5" width="11.375" style="296" customWidth="1"/>
    <col min="6" max="9" width="11.375" style="359" customWidth="1"/>
    <col min="10" max="16384" width="9.125" style="359"/>
  </cols>
  <sheetData>
    <row r="1" ht="21.75" customHeight="1" spans="1:2">
      <c r="A1" s="392"/>
      <c r="B1" s="393"/>
    </row>
    <row r="2" ht="35.25" customHeight="1"/>
    <row r="3" ht="27" customHeight="1" spans="1:11">
      <c r="A3" s="829" t="s">
        <v>13</v>
      </c>
      <c r="B3" s="829"/>
      <c r="C3" s="829"/>
      <c r="D3" s="829"/>
      <c r="E3" s="829"/>
      <c r="F3" s="829"/>
      <c r="G3" s="829"/>
      <c r="H3" s="829"/>
      <c r="I3" s="829"/>
      <c r="J3" s="829"/>
      <c r="K3" s="829"/>
    </row>
    <row r="4" ht="12.2" customHeight="1" spans="1:11">
      <c r="A4" s="830"/>
      <c r="B4" s="830"/>
      <c r="C4" s="831"/>
      <c r="D4" s="831"/>
      <c r="E4" s="831"/>
      <c r="F4" s="830"/>
      <c r="G4" s="830"/>
      <c r="H4" s="830"/>
      <c r="I4" s="830"/>
      <c r="J4" s="395"/>
      <c r="K4" s="395"/>
    </row>
    <row r="5" ht="44.25" customHeight="1" spans="1:11">
      <c r="A5" s="829" t="s">
        <v>14</v>
      </c>
      <c r="B5" s="829"/>
      <c r="C5" s="829"/>
      <c r="D5" s="829"/>
      <c r="E5" s="829"/>
      <c r="F5" s="829"/>
      <c r="G5" s="829"/>
      <c r="H5" s="829"/>
      <c r="I5" s="829"/>
      <c r="J5" s="829"/>
      <c r="K5" s="829"/>
    </row>
    <row r="6" ht="21.6" customHeight="1"/>
    <row r="7" ht="21.6" customHeight="1"/>
    <row r="8" ht="21.6" customHeight="1"/>
    <row r="9" ht="16.5" customHeight="1"/>
    <row r="10" ht="20.45" customHeight="1"/>
    <row r="11" ht="12.2" customHeight="1"/>
    <row r="12" ht="26.25" customHeight="1" spans="1:9">
      <c r="A12" s="397" t="s">
        <v>15</v>
      </c>
      <c r="B12" s="397"/>
      <c r="C12" s="398"/>
      <c r="D12" s="832" t="s">
        <v>1</v>
      </c>
      <c r="E12" s="832"/>
      <c r="F12" s="832"/>
      <c r="G12" s="832"/>
      <c r="H12" s="400"/>
      <c r="I12" s="397"/>
    </row>
    <row r="13" ht="17.25" customHeight="1" spans="2:9">
      <c r="B13" s="401"/>
      <c r="C13" s="402"/>
      <c r="D13" s="402"/>
      <c r="E13" s="402"/>
      <c r="F13" s="403"/>
      <c r="G13" s="296"/>
      <c r="H13" s="296"/>
      <c r="I13" s="296"/>
    </row>
    <row r="14" ht="27" customHeight="1" spans="1:9">
      <c r="A14" s="404" t="s">
        <v>3</v>
      </c>
      <c r="B14" s="404"/>
      <c r="C14" s="405"/>
      <c r="D14" s="833" t="s">
        <v>2</v>
      </c>
      <c r="E14" s="833"/>
      <c r="F14" s="833"/>
      <c r="G14" s="833"/>
      <c r="H14" s="404"/>
      <c r="I14" s="404"/>
    </row>
    <row r="15" ht="15.95" customHeight="1"/>
    <row r="16" ht="12.2" customHeight="1"/>
    <row r="17" ht="12" customHeight="1"/>
    <row r="18" ht="16.5" customHeight="1" spans="2:5">
      <c r="B18" s="359" t="s">
        <v>3</v>
      </c>
      <c r="C18" s="359"/>
      <c r="D18" s="359"/>
      <c r="E18" s="359"/>
    </row>
  </sheetData>
  <mergeCells count="6">
    <mergeCell ref="A1:B1"/>
    <mergeCell ref="A3:K3"/>
    <mergeCell ref="A5:K5"/>
    <mergeCell ref="D12:G12"/>
    <mergeCell ref="D14:G14"/>
    <mergeCell ref="B18:I18"/>
  </mergeCells>
  <pageMargins left="0.747916666666667" right="0.747916666666667" top="0.984027777777778" bottom="0.786805555555556" header="0.511805555555556" footer="0.590277777777778"/>
  <pageSetup paperSize="9" orientation="landscape" useFirstPageNumber="1" horizontalDpi="600"/>
  <headerFooter alignWithMargins="0">
    <oddFooter>&amp;C1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workbookViewId="0">
      <selection activeCell="A2" sqref="A2:F2"/>
    </sheetView>
  </sheetViews>
  <sheetFormatPr defaultColWidth="9.125" defaultRowHeight="13" outlineLevelCol="5"/>
  <cols>
    <col min="1" max="1" width="34.375" style="61" customWidth="1"/>
    <col min="2" max="2" width="11.75" style="61" customWidth="1"/>
    <col min="3" max="3" width="14.875" style="62" customWidth="1"/>
    <col min="4" max="4" width="25.75" style="62" customWidth="1"/>
    <col min="5" max="5" width="11.5" style="62" customWidth="1"/>
    <col min="6" max="6" width="14.5" style="61" customWidth="1"/>
    <col min="7" max="16384" width="9.125" style="61"/>
  </cols>
  <sheetData>
    <row r="1" ht="20.25" customHeight="1" spans="1:1">
      <c r="A1" s="63" t="s">
        <v>1292</v>
      </c>
    </row>
    <row r="2" ht="24" spans="1:6">
      <c r="A2" s="64" t="s">
        <v>1293</v>
      </c>
      <c r="B2" s="64"/>
      <c r="C2" s="64"/>
      <c r="D2" s="64"/>
      <c r="E2" s="64"/>
      <c r="F2" s="64"/>
    </row>
    <row r="3" ht="24.75" customHeight="1" spans="1:6">
      <c r="A3" s="65"/>
      <c r="B3" s="65"/>
      <c r="F3" s="66" t="s">
        <v>36</v>
      </c>
    </row>
    <row r="4" s="60" customFormat="1" ht="30" spans="1:6">
      <c r="A4" s="67" t="s">
        <v>1294</v>
      </c>
      <c r="B4" s="68" t="s">
        <v>1295</v>
      </c>
      <c r="C4" s="46" t="s">
        <v>1006</v>
      </c>
      <c r="D4" s="46" t="s">
        <v>1296</v>
      </c>
      <c r="E4" s="46" t="s">
        <v>1295</v>
      </c>
      <c r="F4" s="68" t="s">
        <v>1006</v>
      </c>
    </row>
    <row r="5" ht="21.95" customHeight="1" spans="1:6">
      <c r="A5" s="69" t="s">
        <v>1297</v>
      </c>
      <c r="B5" s="70">
        <f>135517900/10000</f>
        <v>13551.79</v>
      </c>
      <c r="C5" s="70">
        <f>136090000/10000</f>
        <v>13609</v>
      </c>
      <c r="D5" s="71" t="s">
        <v>1298</v>
      </c>
      <c r="E5" s="70">
        <f>468126826.2/10000</f>
        <v>46812.68262</v>
      </c>
      <c r="F5" s="70">
        <f>537379578/10000</f>
        <v>53737.9578</v>
      </c>
    </row>
    <row r="6" ht="21.95" customHeight="1" spans="1:6">
      <c r="A6" s="69" t="s">
        <v>1299</v>
      </c>
      <c r="B6" s="72">
        <f>3652000/10000</f>
        <v>365.2</v>
      </c>
      <c r="C6" s="72">
        <f>3800000/10000</f>
        <v>380</v>
      </c>
      <c r="D6" s="71" t="s">
        <v>1300</v>
      </c>
      <c r="E6" s="72">
        <f>27682392/10000</f>
        <v>2768.2392</v>
      </c>
      <c r="F6" s="72">
        <f>32685912/10000</f>
        <v>3268.5912</v>
      </c>
    </row>
    <row r="7" ht="21.95" customHeight="1" spans="1:6">
      <c r="A7" s="69" t="s">
        <v>1301</v>
      </c>
      <c r="B7" s="73"/>
      <c r="C7" s="73"/>
      <c r="D7" s="71" t="s">
        <v>1302</v>
      </c>
      <c r="E7" s="74">
        <f>25344000/10000</f>
        <v>2534.4</v>
      </c>
      <c r="F7" s="74">
        <f>28560000/10000</f>
        <v>2856</v>
      </c>
    </row>
    <row r="8" ht="21.95" customHeight="1" spans="1:6">
      <c r="A8" s="69" t="s">
        <v>1303</v>
      </c>
      <c r="B8" s="74">
        <f>30000000/10000</f>
        <v>3000</v>
      </c>
      <c r="C8" s="75">
        <f>31000000/10000</f>
        <v>3100</v>
      </c>
      <c r="D8" s="71" t="s">
        <v>1304</v>
      </c>
      <c r="E8" s="74">
        <f>590000/10000</f>
        <v>59</v>
      </c>
      <c r="F8" s="74">
        <f>600000/10000</f>
        <v>60</v>
      </c>
    </row>
    <row r="9" ht="21.95" customHeight="1" spans="1:6">
      <c r="A9" s="69" t="s">
        <v>1305</v>
      </c>
      <c r="B9" s="76">
        <f>516705800/10000</f>
        <v>51670.58</v>
      </c>
      <c r="C9" s="76">
        <f>593988000/10000</f>
        <v>59398.8</v>
      </c>
      <c r="D9" s="51" t="s">
        <v>1306</v>
      </c>
      <c r="E9" s="77">
        <f>7000/10000</f>
        <v>0.7</v>
      </c>
      <c r="F9" s="77">
        <f>8000/10000</f>
        <v>0.8</v>
      </c>
    </row>
    <row r="10" ht="21.95" customHeight="1" spans="1:6">
      <c r="A10" s="78" t="s">
        <v>1307</v>
      </c>
      <c r="B10" s="74">
        <f>468141800/10000</f>
        <v>46814.18</v>
      </c>
      <c r="C10" s="74">
        <f>542208000/10000</f>
        <v>54220.8</v>
      </c>
      <c r="D10" s="51"/>
      <c r="E10" s="73"/>
      <c r="F10" s="73"/>
    </row>
    <row r="11" ht="21.95" customHeight="1" spans="1:6">
      <c r="A11" s="78" t="s">
        <v>1308</v>
      </c>
      <c r="B11" s="74">
        <f>23220000/10000</f>
        <v>2322</v>
      </c>
      <c r="C11" s="74">
        <f>23220000/10000</f>
        <v>2322</v>
      </c>
      <c r="D11" s="79"/>
      <c r="E11" s="80"/>
      <c r="F11" s="80"/>
    </row>
    <row r="12" ht="21.95" customHeight="1" spans="1:6">
      <c r="A12" s="78" t="s">
        <v>1309</v>
      </c>
      <c r="B12" s="74">
        <f>25344000/10000</f>
        <v>2534.4</v>
      </c>
      <c r="C12" s="74">
        <f>28560000/10000</f>
        <v>2856</v>
      </c>
      <c r="D12" s="79"/>
      <c r="E12" s="81"/>
      <c r="F12" s="81"/>
    </row>
    <row r="13" ht="21.95" customHeight="1" spans="1:6">
      <c r="A13" s="78" t="s">
        <v>1310</v>
      </c>
      <c r="B13" s="74">
        <f>20962000.9/10000</f>
        <v>2096.20009</v>
      </c>
      <c r="C13" s="75">
        <f>25293561.04/10000</f>
        <v>2529.356104</v>
      </c>
      <c r="D13" s="82"/>
      <c r="E13" s="83"/>
      <c r="F13" s="83"/>
    </row>
    <row r="14" ht="21.95" customHeight="1" spans="1:6">
      <c r="A14" s="69" t="s">
        <v>1311</v>
      </c>
      <c r="B14" s="74">
        <f>600000/10000</f>
        <v>60</v>
      </c>
      <c r="C14" s="75">
        <f>600000/10000</f>
        <v>60</v>
      </c>
      <c r="D14" s="79"/>
      <c r="E14" s="81"/>
      <c r="F14" s="81"/>
    </row>
    <row r="15" ht="21.95" customHeight="1" spans="1:6">
      <c r="A15" s="69" t="s">
        <v>1312</v>
      </c>
      <c r="B15" s="74">
        <f>650000/10000</f>
        <v>65</v>
      </c>
      <c r="C15" s="75">
        <f>700000/10000</f>
        <v>70</v>
      </c>
      <c r="D15" s="51" t="s">
        <v>1313</v>
      </c>
      <c r="E15" s="83">
        <f>521750218.2/10000</f>
        <v>52175.02182</v>
      </c>
      <c r="F15" s="83">
        <f>599233490/10000</f>
        <v>59923.349</v>
      </c>
    </row>
    <row r="16" s="60" customFormat="1" ht="21.95" customHeight="1" spans="1:6">
      <c r="A16" s="78" t="s">
        <v>1314</v>
      </c>
      <c r="B16" s="74">
        <f>704435700.9/10000</f>
        <v>70443.57009</v>
      </c>
      <c r="C16" s="75">
        <f>787671561.04/10000</f>
        <v>78767.156104</v>
      </c>
      <c r="D16" s="51" t="s">
        <v>1315</v>
      </c>
      <c r="E16" s="83">
        <f>182685482.7/10000</f>
        <v>18268.54827</v>
      </c>
      <c r="F16" s="83">
        <f>188438071.04/10000</f>
        <v>18843.807104</v>
      </c>
    </row>
    <row r="17" s="60" customFormat="1" ht="21.95" customHeight="1" spans="1:6">
      <c r="A17" s="78" t="s">
        <v>1316</v>
      </c>
      <c r="B17" s="73">
        <f>1617480809.01/10000</f>
        <v>161748.080901</v>
      </c>
      <c r="C17" s="84">
        <f>1800166291.71/10000</f>
        <v>180016.629171</v>
      </c>
      <c r="D17" s="51" t="s">
        <v>1317</v>
      </c>
      <c r="E17" s="83">
        <f>1800166291.71/10000</f>
        <v>180016.629171</v>
      </c>
      <c r="F17" s="83">
        <f>1988604362.75/10000</f>
        <v>198860.436275</v>
      </c>
    </row>
    <row r="18" ht="21.95" customHeight="1" spans="1:6">
      <c r="A18" s="85" t="s">
        <v>1318</v>
      </c>
      <c r="B18" s="86">
        <f>SUM(B16:B17)</f>
        <v>232191.650991</v>
      </c>
      <c r="C18" s="86">
        <f>SUM(C16:C17)</f>
        <v>258783.785275</v>
      </c>
      <c r="D18" s="87" t="s">
        <v>1319</v>
      </c>
      <c r="E18" s="88">
        <f>SUM(E15+E17)</f>
        <v>232191.650991</v>
      </c>
      <c r="F18" s="88">
        <f>SUM(F15+F17)</f>
        <v>258783.785275</v>
      </c>
    </row>
    <row r="19" ht="15" spans="1:6">
      <c r="A19" s="60"/>
      <c r="B19" s="60"/>
      <c r="C19" s="36"/>
      <c r="D19" s="36"/>
      <c r="E19" s="36"/>
      <c r="F19" s="89"/>
    </row>
    <row r="20" spans="1:6">
      <c r="A20" s="60"/>
      <c r="B20" s="60"/>
      <c r="C20" s="36"/>
      <c r="D20" s="36"/>
      <c r="E20" s="36"/>
      <c r="F20" s="60"/>
    </row>
    <row r="21" spans="1:6">
      <c r="A21" s="60"/>
      <c r="B21" s="60"/>
      <c r="C21" s="36"/>
      <c r="D21" s="36"/>
      <c r="E21" s="36"/>
      <c r="F21" s="60"/>
    </row>
    <row r="22" spans="1:6">
      <c r="A22" s="60"/>
      <c r="B22" s="60"/>
      <c r="C22" s="36"/>
      <c r="D22" s="36"/>
      <c r="E22" s="36"/>
      <c r="F22" s="60"/>
    </row>
    <row r="30" ht="15" spans="1:2">
      <c r="A30" s="90"/>
      <c r="B30" s="90"/>
    </row>
  </sheetData>
  <mergeCells count="1">
    <mergeCell ref="A2:F2"/>
  </mergeCells>
  <printOptions horizontalCentered="1"/>
  <pageMargins left="0.708333333333333" right="0.708333333333333" top="0.747916666666667" bottom="0.747916666666667" header="0.314583333333333" footer="0.590277777777778"/>
  <pageSetup paperSize="9" firstPageNumber="60" orientation="landscape" useFirstPageNumber="1" horizontalDpi="600"/>
  <headerFooter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topLeftCell="A10" workbookViewId="0">
      <selection activeCell="A2" sqref="A2:F2"/>
    </sheetView>
  </sheetViews>
  <sheetFormatPr defaultColWidth="9.125" defaultRowHeight="12.5" outlineLevelCol="5"/>
  <cols>
    <col min="1" max="1" width="29" style="37" customWidth="1"/>
    <col min="2" max="2" width="14.625" style="37" customWidth="1"/>
    <col min="3" max="3" width="13.75" style="37" customWidth="1"/>
    <col min="4" max="4" width="26.5" style="37" customWidth="1"/>
    <col min="5" max="5" width="16.25" style="37" customWidth="1"/>
    <col min="6" max="6" width="17.75" style="37" customWidth="1"/>
    <col min="7" max="16384" width="9.125" style="37"/>
  </cols>
  <sheetData>
    <row r="1" ht="30" customHeight="1" spans="1:2">
      <c r="A1" s="38" t="s">
        <v>906</v>
      </c>
      <c r="B1" s="39"/>
    </row>
    <row r="2" ht="48" customHeight="1" spans="1:6">
      <c r="A2" s="40" t="s">
        <v>1320</v>
      </c>
      <c r="B2" s="40"/>
      <c r="C2" s="40"/>
      <c r="D2" s="40"/>
      <c r="E2" s="40"/>
      <c r="F2" s="40"/>
    </row>
    <row r="3" ht="23.25" customHeight="1" spans="1:6">
      <c r="A3" s="41"/>
      <c r="B3" s="41"/>
      <c r="F3" s="42" t="s">
        <v>36</v>
      </c>
    </row>
    <row r="4" s="36" customFormat="1" ht="36" customHeight="1" spans="1:6">
      <c r="A4" s="43" t="s">
        <v>1294</v>
      </c>
      <c r="B4" s="44" t="s">
        <v>1321</v>
      </c>
      <c r="C4" s="45" t="s">
        <v>1006</v>
      </c>
      <c r="D4" s="46" t="s">
        <v>1296</v>
      </c>
      <c r="E4" s="45" t="s">
        <v>1321</v>
      </c>
      <c r="F4" s="44" t="s">
        <v>1006</v>
      </c>
    </row>
    <row r="5" ht="24.95" customHeight="1" spans="1:6">
      <c r="A5" s="47" t="s">
        <v>1322</v>
      </c>
      <c r="B5" s="48">
        <v>63500</v>
      </c>
      <c r="C5" s="48">
        <v>64494.684804</v>
      </c>
      <c r="D5" s="47" t="s">
        <v>1323</v>
      </c>
      <c r="E5" s="49">
        <f>603827392.56/10000</f>
        <v>60382.739256</v>
      </c>
      <c r="F5" s="50">
        <f>639739664.28/10000</f>
        <v>63973.966428</v>
      </c>
    </row>
    <row r="6" ht="24.95" customHeight="1" spans="1:6">
      <c r="A6" s="47" t="s">
        <v>1324</v>
      </c>
      <c r="B6" s="48">
        <v>41.206513</v>
      </c>
      <c r="C6" s="48">
        <v>45.327165</v>
      </c>
      <c r="D6" s="47" t="s">
        <v>1325</v>
      </c>
      <c r="E6" s="49">
        <f>94421.36/10000</f>
        <v>9.442136</v>
      </c>
      <c r="F6" s="50">
        <f>103863.5/10000</f>
        <v>10.38635</v>
      </c>
    </row>
    <row r="7" ht="24.95" customHeight="1" spans="1:6">
      <c r="A7" s="47" t="s">
        <v>1326</v>
      </c>
      <c r="B7" s="48"/>
      <c r="C7" s="48"/>
      <c r="D7" s="47" t="s">
        <v>1327</v>
      </c>
      <c r="E7" s="49">
        <f>2442347.9/10000</f>
        <v>244.23479</v>
      </c>
      <c r="F7" s="50">
        <f>2686582.68/10000</f>
        <v>268.658268</v>
      </c>
    </row>
    <row r="8" ht="24.95" customHeight="1" spans="1:6">
      <c r="A8" s="47" t="s">
        <v>1328</v>
      </c>
      <c r="B8" s="48"/>
      <c r="C8" s="48"/>
      <c r="D8" s="47" t="s">
        <v>1329</v>
      </c>
      <c r="E8" s="51">
        <f>606364161.82/10000</f>
        <v>60636.416182</v>
      </c>
      <c r="F8" s="51">
        <f>642530110.46/10000</f>
        <v>64253.011046</v>
      </c>
    </row>
    <row r="9" ht="24.95" customHeight="1" spans="1:6">
      <c r="A9" s="47" t="s">
        <v>1330</v>
      </c>
      <c r="B9" s="48">
        <v>3.836679</v>
      </c>
      <c r="C9" s="48">
        <v>4</v>
      </c>
      <c r="D9" s="47" t="s">
        <v>1331</v>
      </c>
      <c r="E9" s="51"/>
      <c r="F9" s="51"/>
    </row>
    <row r="10" ht="24.95" customHeight="1" spans="1:6">
      <c r="A10" s="47" t="s">
        <v>1332</v>
      </c>
      <c r="B10" s="48">
        <v>633.659632</v>
      </c>
      <c r="C10" s="48">
        <v>697</v>
      </c>
      <c r="D10" s="47" t="s">
        <v>1333</v>
      </c>
      <c r="E10" s="51"/>
      <c r="F10" s="51"/>
    </row>
    <row r="11" ht="24.95" customHeight="1" spans="1:6">
      <c r="A11" s="47" t="s">
        <v>1334</v>
      </c>
      <c r="B11" s="48">
        <v>64178.702824</v>
      </c>
      <c r="C11" s="48">
        <v>65241.257911</v>
      </c>
      <c r="D11" s="47" t="s">
        <v>1335</v>
      </c>
      <c r="E11" s="52">
        <f>E8+E9+E10</f>
        <v>60636.416182</v>
      </c>
      <c r="F11" s="53">
        <f>F8+F9+F10</f>
        <v>64253.011046</v>
      </c>
    </row>
    <row r="12" ht="24.95" customHeight="1" spans="1:6">
      <c r="A12" s="47" t="s">
        <v>1336</v>
      </c>
      <c r="B12" s="54"/>
      <c r="C12" s="54"/>
      <c r="D12" s="47" t="s">
        <v>1337</v>
      </c>
      <c r="E12" s="52">
        <f>B11-E11</f>
        <v>3542.28664199999</v>
      </c>
      <c r="F12" s="53">
        <f>C11-F11</f>
        <v>988.246864999994</v>
      </c>
    </row>
    <row r="13" ht="24.95" customHeight="1" spans="1:6">
      <c r="A13" s="47" t="s">
        <v>1338</v>
      </c>
      <c r="B13" s="54"/>
      <c r="C13" s="54"/>
      <c r="D13" s="47" t="s">
        <v>1339</v>
      </c>
      <c r="E13" s="52">
        <f>70953987.27/10000</f>
        <v>7095.398727</v>
      </c>
      <c r="F13" s="53">
        <f>80836455.9199999/10000</f>
        <v>8083.64559199999</v>
      </c>
    </row>
    <row r="14" ht="24.95" customHeight="1" spans="1:6">
      <c r="A14" s="47" t="s">
        <v>1340</v>
      </c>
      <c r="B14" s="48">
        <v>64178.702824</v>
      </c>
      <c r="C14" s="48">
        <v>65241.257911</v>
      </c>
      <c r="D14" s="47"/>
      <c r="E14" s="48"/>
      <c r="F14" s="48"/>
    </row>
    <row r="15" ht="24.95" customHeight="1" spans="1:6">
      <c r="A15" s="47" t="s">
        <v>1341</v>
      </c>
      <c r="B15" s="48">
        <v>3553.112085</v>
      </c>
      <c r="C15" s="48">
        <v>7095.398727</v>
      </c>
      <c r="D15" s="47"/>
      <c r="E15" s="48"/>
      <c r="F15" s="48"/>
    </row>
    <row r="16" s="36" customFormat="1" ht="24.95" customHeight="1" spans="1:6">
      <c r="A16" s="55" t="s">
        <v>1318</v>
      </c>
      <c r="B16" s="56">
        <v>67731.814909</v>
      </c>
      <c r="C16" s="56">
        <v>72336.656638</v>
      </c>
      <c r="D16" s="55" t="s">
        <v>1318</v>
      </c>
      <c r="E16" s="57">
        <f>SUM(E11+E13)</f>
        <v>67731.814909</v>
      </c>
      <c r="F16" s="57">
        <f>SUM(F11+F13)</f>
        <v>72336.656638</v>
      </c>
    </row>
    <row r="17" ht="13" spans="1:6">
      <c r="A17" s="36"/>
      <c r="B17" s="36"/>
      <c r="C17" s="36"/>
      <c r="D17" s="36"/>
      <c r="E17" s="36"/>
      <c r="F17" s="58"/>
    </row>
    <row r="18" ht="13" spans="1:6">
      <c r="A18" s="36"/>
      <c r="B18" s="36"/>
      <c r="C18" s="36"/>
      <c r="D18" s="36"/>
      <c r="E18" s="36"/>
      <c r="F18" s="36"/>
    </row>
    <row r="19" ht="13" spans="1:6">
      <c r="A19" s="36"/>
      <c r="B19" s="36"/>
      <c r="C19" s="36"/>
      <c r="D19" s="36"/>
      <c r="E19" s="36"/>
      <c r="F19" s="36"/>
    </row>
    <row r="27" spans="1:2">
      <c r="A27" s="59"/>
      <c r="B27" s="59"/>
    </row>
  </sheetData>
  <mergeCells count="1">
    <mergeCell ref="A2:F2"/>
  </mergeCells>
  <printOptions horizontalCentered="1"/>
  <pageMargins left="0.708333333333333" right="0.708333333333333" top="0.747916666666667" bottom="0.747916666666667" header="0.314583333333333" footer="0.590277777777778"/>
  <pageSetup paperSize="9" firstPageNumber="61" orientation="landscape" useFirstPageNumber="1" horizontalDpi="600"/>
  <headerFooter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1"/>
  <sheetViews>
    <sheetView workbookViewId="0">
      <selection activeCell="N8" sqref="N8"/>
    </sheetView>
  </sheetViews>
  <sheetFormatPr defaultColWidth="9.125" defaultRowHeight="13" outlineLevelCol="3"/>
  <cols>
    <col min="1" max="1" width="32.75" style="2" customWidth="1"/>
    <col min="2" max="2" width="8.125" style="2" customWidth="1"/>
    <col min="3" max="3" width="18.25" style="2" customWidth="1"/>
    <col min="4" max="4" width="21.75" style="2" customWidth="1"/>
    <col min="5" max="16384" width="9.125" style="2"/>
  </cols>
  <sheetData>
    <row r="1" ht="21" customHeight="1" spans="1:1">
      <c r="A1" s="3" t="s">
        <v>941</v>
      </c>
    </row>
    <row r="2" ht="15" spans="1:1">
      <c r="A2" s="3"/>
    </row>
    <row r="3" ht="24" spans="1:4">
      <c r="A3" s="4" t="s">
        <v>1342</v>
      </c>
      <c r="B3" s="4"/>
      <c r="C3" s="4"/>
      <c r="D3" s="4"/>
    </row>
    <row r="4" ht="23.75" spans="1:4">
      <c r="A4" s="5"/>
      <c r="B4" s="5"/>
      <c r="C4" s="5"/>
      <c r="D4" s="5"/>
    </row>
    <row r="5" s="1" customFormat="1" ht="39.95" customHeight="1" spans="1:4">
      <c r="A5" s="6" t="s">
        <v>1343</v>
      </c>
      <c r="B5" s="7" t="s">
        <v>1344</v>
      </c>
      <c r="C5" s="8" t="s">
        <v>1345</v>
      </c>
      <c r="D5" s="9" t="s">
        <v>952</v>
      </c>
    </row>
    <row r="6" ht="39.95" customHeight="1" spans="1:4">
      <c r="A6" s="10" t="s">
        <v>1346</v>
      </c>
      <c r="B6" s="11" t="s">
        <v>1347</v>
      </c>
      <c r="C6" s="12"/>
      <c r="D6" s="13"/>
    </row>
    <row r="7" ht="39.95" customHeight="1" spans="1:4">
      <c r="A7" s="14" t="s">
        <v>1348</v>
      </c>
      <c r="B7" s="15" t="s">
        <v>1349</v>
      </c>
      <c r="C7" s="16">
        <v>540000</v>
      </c>
      <c r="D7" s="17">
        <v>540000</v>
      </c>
    </row>
    <row r="8" ht="39.95" customHeight="1" spans="1:4">
      <c r="A8" s="14" t="s">
        <v>1350</v>
      </c>
      <c r="B8" s="15" t="s">
        <v>1349</v>
      </c>
      <c r="C8" s="16">
        <v>243000</v>
      </c>
      <c r="D8" s="17">
        <v>262000</v>
      </c>
    </row>
    <row r="9" ht="39.95" customHeight="1" spans="1:4">
      <c r="A9" s="18" t="s">
        <v>1351</v>
      </c>
      <c r="B9" s="19" t="s">
        <v>1347</v>
      </c>
      <c r="C9" s="20"/>
      <c r="D9" s="21"/>
    </row>
    <row r="10" ht="39.95" customHeight="1" spans="1:4">
      <c r="A10" s="22" t="s">
        <v>1352</v>
      </c>
      <c r="B10" s="15" t="s">
        <v>1349</v>
      </c>
      <c r="C10" s="23">
        <f>C11+C12</f>
        <v>30782</v>
      </c>
      <c r="D10" s="24">
        <f>D11+D12</f>
        <v>30042</v>
      </c>
    </row>
    <row r="11" ht="39.95" customHeight="1" spans="1:4">
      <c r="A11" s="22" t="s">
        <v>1353</v>
      </c>
      <c r="B11" s="15" t="s">
        <v>1349</v>
      </c>
      <c r="C11" s="23">
        <v>21981</v>
      </c>
      <c r="D11" s="24">
        <v>21037</v>
      </c>
    </row>
    <row r="12" ht="39.95" customHeight="1" spans="1:4">
      <c r="A12" s="22" t="s">
        <v>1354</v>
      </c>
      <c r="B12" s="15" t="s">
        <v>1349</v>
      </c>
      <c r="C12" s="23">
        <v>8801</v>
      </c>
      <c r="D12" s="24">
        <v>9005</v>
      </c>
    </row>
    <row r="13" ht="39.95" customHeight="1" spans="1:4">
      <c r="A13" s="22" t="s">
        <v>1355</v>
      </c>
      <c r="B13" s="15" t="s">
        <v>1349</v>
      </c>
      <c r="C13" s="23">
        <v>20712</v>
      </c>
      <c r="D13" s="24">
        <v>21037</v>
      </c>
    </row>
    <row r="14" ht="39.95" customHeight="1" spans="1:4">
      <c r="A14" s="22" t="s">
        <v>1356</v>
      </c>
      <c r="B14" s="15" t="s">
        <v>1347</v>
      </c>
      <c r="C14" s="25">
        <f>2645833333.33/10000</f>
        <v>264583.333333</v>
      </c>
      <c r="D14" s="26">
        <f>2687278533.48/10000</f>
        <v>268727.853348</v>
      </c>
    </row>
    <row r="15" ht="39.95" customHeight="1" spans="1:4">
      <c r="A15" s="22" t="s">
        <v>1357</v>
      </c>
      <c r="B15" s="15" t="s">
        <v>1358</v>
      </c>
      <c r="C15" s="27"/>
      <c r="D15" s="28"/>
    </row>
    <row r="16" ht="39.95" customHeight="1" spans="1:4">
      <c r="A16" s="22" t="s">
        <v>1359</v>
      </c>
      <c r="B16" s="15" t="s">
        <v>1358</v>
      </c>
      <c r="C16" s="27"/>
      <c r="D16" s="28"/>
    </row>
    <row r="17" ht="39.95" customHeight="1" spans="1:4">
      <c r="A17" s="29" t="s">
        <v>1360</v>
      </c>
      <c r="B17" s="30" t="s">
        <v>1361</v>
      </c>
      <c r="C17" s="31">
        <v>24</v>
      </c>
      <c r="D17" s="32">
        <v>24</v>
      </c>
    </row>
    <row r="25" spans="1:1">
      <c r="A25" s="33"/>
    </row>
    <row r="26" spans="1:1">
      <c r="A26" s="33"/>
    </row>
    <row r="27" spans="1:1">
      <c r="A27" s="33"/>
    </row>
    <row r="28" spans="1:1">
      <c r="A28" s="33"/>
    </row>
    <row r="29" spans="1:1">
      <c r="A29" s="33"/>
    </row>
    <row r="30" spans="1:1">
      <c r="A30" s="33"/>
    </row>
    <row r="31" spans="1:1">
      <c r="A31" s="33"/>
    </row>
    <row r="32" spans="1:1">
      <c r="A32" s="33"/>
    </row>
    <row r="33" spans="1:1">
      <c r="A33" s="33"/>
    </row>
    <row r="34" spans="1:1">
      <c r="A34" s="33"/>
    </row>
    <row r="35" spans="1:1">
      <c r="A35" s="33"/>
    </row>
    <row r="36" spans="1:1">
      <c r="A36" s="33"/>
    </row>
    <row r="37" spans="1:1">
      <c r="A37" s="33"/>
    </row>
    <row r="38" spans="1:1">
      <c r="A38" s="33"/>
    </row>
    <row r="39" spans="1:1">
      <c r="A39" s="33"/>
    </row>
    <row r="40" spans="1:1">
      <c r="A40" s="33"/>
    </row>
    <row r="41" spans="1:1">
      <c r="A41" s="33"/>
    </row>
    <row r="42" spans="1:1">
      <c r="A42" s="33"/>
    </row>
    <row r="43" spans="1:1">
      <c r="A43" s="33"/>
    </row>
    <row r="44" spans="1:1">
      <c r="A44" s="33"/>
    </row>
    <row r="45" spans="1:1">
      <c r="A45" s="33"/>
    </row>
    <row r="46" spans="1:1">
      <c r="A46" s="33"/>
    </row>
    <row r="47" spans="1:1">
      <c r="A47" s="33"/>
    </row>
    <row r="48" spans="1:1">
      <c r="A48" s="33"/>
    </row>
    <row r="49" spans="1:1">
      <c r="A49" s="33"/>
    </row>
    <row r="50" spans="1:1">
      <c r="A50" s="33"/>
    </row>
    <row r="51" spans="1:1">
      <c r="A51" s="33"/>
    </row>
    <row r="52" spans="1:1">
      <c r="A52" s="33"/>
    </row>
    <row r="53" spans="1:1">
      <c r="A53" s="33"/>
    </row>
    <row r="54" spans="1:1">
      <c r="A54" s="33"/>
    </row>
    <row r="55" spans="1:1">
      <c r="A55" s="33"/>
    </row>
    <row r="56" spans="1:1">
      <c r="A56" s="33"/>
    </row>
    <row r="57" spans="1:1">
      <c r="A57" s="33"/>
    </row>
    <row r="58" spans="1:1">
      <c r="A58" s="33"/>
    </row>
    <row r="59" spans="1:1">
      <c r="A59" s="33"/>
    </row>
    <row r="60" spans="1:1">
      <c r="A60" s="33"/>
    </row>
    <row r="61" spans="1:1">
      <c r="A61" s="33"/>
    </row>
    <row r="62" spans="1:1">
      <c r="A62" s="33"/>
    </row>
    <row r="63" spans="1:1">
      <c r="A63" s="33"/>
    </row>
    <row r="64" spans="1:1">
      <c r="A64" s="33"/>
    </row>
    <row r="65" spans="1:1">
      <c r="A65" s="33"/>
    </row>
    <row r="66" spans="1:1">
      <c r="A66" s="33"/>
    </row>
    <row r="67" spans="1:1">
      <c r="A67" s="33"/>
    </row>
    <row r="68" spans="1:1">
      <c r="A68" s="33"/>
    </row>
    <row r="69" spans="1:1">
      <c r="A69" s="33"/>
    </row>
    <row r="70" spans="1:1">
      <c r="A70" s="33"/>
    </row>
    <row r="71" spans="1:1">
      <c r="A71" s="33"/>
    </row>
    <row r="72" spans="1:1">
      <c r="A72" s="33"/>
    </row>
    <row r="73" spans="1:1">
      <c r="A73" s="33"/>
    </row>
    <row r="74" spans="1:1">
      <c r="A74" s="33"/>
    </row>
    <row r="75" spans="1:1">
      <c r="A75" s="33"/>
    </row>
    <row r="76" spans="1:1">
      <c r="A76" s="33"/>
    </row>
    <row r="77" spans="1:1">
      <c r="A77" s="33"/>
    </row>
    <row r="78" spans="1:1">
      <c r="A78" s="33"/>
    </row>
    <row r="79" spans="1:1">
      <c r="A79" s="33"/>
    </row>
    <row r="80" spans="1:1">
      <c r="A80" s="33"/>
    </row>
    <row r="81" spans="1:1">
      <c r="A81" s="33"/>
    </row>
    <row r="82" spans="1:1">
      <c r="A82" s="33"/>
    </row>
    <row r="83" spans="1:1">
      <c r="A83" s="33"/>
    </row>
    <row r="84" spans="1:1">
      <c r="A84" s="33"/>
    </row>
    <row r="85" spans="1:1">
      <c r="A85" s="33"/>
    </row>
    <row r="86" spans="1:1">
      <c r="A86" s="33"/>
    </row>
    <row r="87" spans="1:1">
      <c r="A87" s="33"/>
    </row>
    <row r="88" spans="1:1">
      <c r="A88" s="33"/>
    </row>
    <row r="89" spans="1:1">
      <c r="A89" s="33"/>
    </row>
    <row r="90" spans="1:1">
      <c r="A90" s="33"/>
    </row>
    <row r="91" spans="1:1">
      <c r="A91" s="33"/>
    </row>
    <row r="92" spans="1:1">
      <c r="A92" s="33"/>
    </row>
    <row r="93" spans="1:1">
      <c r="A93" s="33"/>
    </row>
    <row r="94" spans="1:1">
      <c r="A94" s="33"/>
    </row>
    <row r="95" spans="1:1">
      <c r="A95" s="33"/>
    </row>
    <row r="96" spans="1:1">
      <c r="A96" s="33"/>
    </row>
    <row r="97" spans="1:1">
      <c r="A97" s="33"/>
    </row>
    <row r="98" spans="1:1">
      <c r="A98" s="33"/>
    </row>
    <row r="99" spans="1:1">
      <c r="A99" s="33"/>
    </row>
    <row r="100" spans="1:1">
      <c r="A100" s="33"/>
    </row>
    <row r="101" spans="1:1">
      <c r="A101" s="33"/>
    </row>
    <row r="102" spans="1:1">
      <c r="A102" s="33"/>
    </row>
    <row r="103" spans="1:1">
      <c r="A103" s="33"/>
    </row>
    <row r="104" spans="1:1">
      <c r="A104" s="33"/>
    </row>
    <row r="105" spans="1:1">
      <c r="A105" s="33"/>
    </row>
    <row r="106" spans="1:1">
      <c r="A106" s="33"/>
    </row>
    <row r="107" spans="1:1">
      <c r="A107" s="33"/>
    </row>
    <row r="108" spans="1:1">
      <c r="A108" s="33"/>
    </row>
    <row r="109" spans="1:1">
      <c r="A109" s="33"/>
    </row>
    <row r="110" spans="1:1">
      <c r="A110" s="33"/>
    </row>
    <row r="111" spans="1:1">
      <c r="A111" s="33"/>
    </row>
    <row r="112" spans="1:1">
      <c r="A112" s="33"/>
    </row>
    <row r="113" spans="1:1">
      <c r="A113" s="33"/>
    </row>
    <row r="114" spans="1:1">
      <c r="A114" s="33"/>
    </row>
    <row r="115" spans="1:1">
      <c r="A115" s="33"/>
    </row>
    <row r="116" spans="1:1">
      <c r="A116" s="33"/>
    </row>
    <row r="117" spans="1:1">
      <c r="A117" s="33"/>
    </row>
    <row r="118" spans="1:1">
      <c r="A118" s="33"/>
    </row>
    <row r="119" spans="1:1">
      <c r="A119" s="33"/>
    </row>
    <row r="120" spans="1:1">
      <c r="A120" s="33"/>
    </row>
    <row r="121" spans="1:1">
      <c r="A121" s="33"/>
    </row>
    <row r="122" spans="1:1">
      <c r="A122" s="33"/>
    </row>
    <row r="123" spans="1:1">
      <c r="A123" s="33"/>
    </row>
    <row r="124" spans="1:1">
      <c r="A124" s="33"/>
    </row>
    <row r="125" spans="1:1">
      <c r="A125" s="33"/>
    </row>
    <row r="126" spans="1:1">
      <c r="A126" s="33"/>
    </row>
    <row r="127" spans="1:1">
      <c r="A127" s="33"/>
    </row>
    <row r="128" spans="1:1">
      <c r="A128" s="33"/>
    </row>
    <row r="129" spans="1:1">
      <c r="A129" s="33"/>
    </row>
    <row r="130" spans="1:1">
      <c r="A130" s="33"/>
    </row>
    <row r="131" spans="1:1">
      <c r="A131" s="33"/>
    </row>
    <row r="132" spans="1:1">
      <c r="A132" s="33"/>
    </row>
    <row r="133" spans="1:1">
      <c r="A133" s="33"/>
    </row>
    <row r="134" spans="1:1">
      <c r="A134" s="33"/>
    </row>
    <row r="135" spans="1:1">
      <c r="A135" s="33"/>
    </row>
    <row r="136" spans="1:1">
      <c r="A136" s="33"/>
    </row>
    <row r="137" spans="1:1">
      <c r="A137" s="33"/>
    </row>
    <row r="138" spans="1:1">
      <c r="A138" s="33"/>
    </row>
    <row r="139" spans="1:1">
      <c r="A139" s="33"/>
    </row>
    <row r="140" spans="1:1">
      <c r="A140" s="33"/>
    </row>
    <row r="141" spans="1:1">
      <c r="A141" s="33"/>
    </row>
    <row r="142" spans="1:1">
      <c r="A142" s="33"/>
    </row>
    <row r="143" spans="1:1">
      <c r="A143" s="33"/>
    </row>
    <row r="144" spans="1:1">
      <c r="A144" s="33"/>
    </row>
    <row r="145" spans="1:1">
      <c r="A145" s="33"/>
    </row>
    <row r="146" spans="1:1">
      <c r="A146" s="33"/>
    </row>
    <row r="147" spans="1:1">
      <c r="A147" s="33"/>
    </row>
    <row r="148" spans="1:1">
      <c r="A148" s="33"/>
    </row>
    <row r="149" spans="1:1">
      <c r="A149" s="33"/>
    </row>
    <row r="150" spans="1:1">
      <c r="A150" s="33"/>
    </row>
    <row r="151" spans="1:1">
      <c r="A151" s="33"/>
    </row>
    <row r="152" spans="1:1">
      <c r="A152" s="33"/>
    </row>
    <row r="153" spans="1:1">
      <c r="A153" s="33"/>
    </row>
    <row r="154" spans="1:1">
      <c r="A154" s="33"/>
    </row>
    <row r="155" spans="1:1">
      <c r="A155" s="33"/>
    </row>
    <row r="156" spans="1:1">
      <c r="A156" s="33"/>
    </row>
    <row r="157" spans="1:1">
      <c r="A157" s="33"/>
    </row>
    <row r="158" spans="1:1">
      <c r="A158" s="33"/>
    </row>
    <row r="159" spans="1:1">
      <c r="A159" s="33"/>
    </row>
    <row r="160" spans="1:1">
      <c r="A160" s="33"/>
    </row>
    <row r="161" spans="1:1">
      <c r="A161" s="33"/>
    </row>
    <row r="162" spans="1:1">
      <c r="A162" s="33"/>
    </row>
    <row r="163" spans="1:1">
      <c r="A163" s="33"/>
    </row>
    <row r="164" spans="1:1">
      <c r="A164" s="33"/>
    </row>
    <row r="165" spans="1:1">
      <c r="A165" s="33"/>
    </row>
    <row r="166" spans="1:1">
      <c r="A166" s="33"/>
    </row>
    <row r="167" spans="1:1">
      <c r="A167" s="33"/>
    </row>
    <row r="168" spans="1:1">
      <c r="A168" s="33"/>
    </row>
    <row r="169" spans="1:1">
      <c r="A169" s="33"/>
    </row>
    <row r="170" spans="1:1">
      <c r="A170" s="33"/>
    </row>
    <row r="171" spans="1:1">
      <c r="A171" s="33"/>
    </row>
    <row r="172" spans="1:1">
      <c r="A172" s="33"/>
    </row>
    <row r="173" spans="1:1">
      <c r="A173" s="33"/>
    </row>
    <row r="174" spans="1:1">
      <c r="A174" s="33"/>
    </row>
    <row r="175" spans="1:1">
      <c r="A175" s="33"/>
    </row>
    <row r="176" spans="1:1">
      <c r="A176" s="33"/>
    </row>
    <row r="177" spans="1:1">
      <c r="A177" s="33"/>
    </row>
    <row r="178" spans="1:1">
      <c r="A178" s="33"/>
    </row>
    <row r="179" spans="1:1">
      <c r="A179" s="33"/>
    </row>
    <row r="180" spans="1:1">
      <c r="A180" s="33"/>
    </row>
    <row r="181" spans="1:1">
      <c r="A181" s="33"/>
    </row>
    <row r="182" spans="1:1">
      <c r="A182" s="33"/>
    </row>
    <row r="183" spans="1:1">
      <c r="A183" s="33"/>
    </row>
    <row r="184" spans="1:1">
      <c r="A184" s="33"/>
    </row>
    <row r="185" spans="1:1">
      <c r="A185" s="33"/>
    </row>
    <row r="186" spans="1:1">
      <c r="A186" s="33"/>
    </row>
    <row r="187" spans="1:1">
      <c r="A187" s="33"/>
    </row>
    <row r="188" spans="1:1">
      <c r="A188" s="33"/>
    </row>
    <row r="189" spans="1:1">
      <c r="A189" s="33"/>
    </row>
    <row r="190" spans="1:1">
      <c r="A190" s="33"/>
    </row>
    <row r="191" spans="1:1">
      <c r="A191" s="33"/>
    </row>
    <row r="192" spans="1:1">
      <c r="A192" s="33"/>
    </row>
    <row r="193" spans="1:1">
      <c r="A193" s="33"/>
    </row>
    <row r="194" spans="1:1">
      <c r="A194" s="33"/>
    </row>
    <row r="195" spans="1:1">
      <c r="A195" s="33"/>
    </row>
    <row r="196" spans="1:1">
      <c r="A196" s="33"/>
    </row>
    <row r="197" spans="1:1">
      <c r="A197" s="33"/>
    </row>
    <row r="198" spans="1:1">
      <c r="A198" s="33"/>
    </row>
    <row r="199" spans="1:1">
      <c r="A199" s="33"/>
    </row>
    <row r="200" spans="1:1">
      <c r="A200" s="33"/>
    </row>
    <row r="201" spans="1:1">
      <c r="A201" s="33"/>
    </row>
    <row r="202" spans="1:1">
      <c r="A202" s="33"/>
    </row>
    <row r="203" spans="1:1">
      <c r="A203" s="33"/>
    </row>
    <row r="204" spans="1:1">
      <c r="A204" s="33"/>
    </row>
    <row r="205" spans="1:1">
      <c r="A205" s="33"/>
    </row>
    <row r="206" spans="1:1">
      <c r="A206" s="33"/>
    </row>
    <row r="207" spans="1:1">
      <c r="A207" s="33"/>
    </row>
    <row r="208" spans="1:1">
      <c r="A208" s="33"/>
    </row>
    <row r="209" spans="1:1">
      <c r="A209" s="33"/>
    </row>
    <row r="210" spans="1:1">
      <c r="A210" s="33"/>
    </row>
    <row r="211" spans="1:1">
      <c r="A211" s="33"/>
    </row>
    <row r="212" spans="1:1">
      <c r="A212" s="33"/>
    </row>
    <row r="213" spans="1:1">
      <c r="A213" s="33"/>
    </row>
    <row r="214" spans="1:1">
      <c r="A214" s="33"/>
    </row>
    <row r="215" spans="1:1">
      <c r="A215" s="33"/>
    </row>
    <row r="216" spans="1:1">
      <c r="A216" s="33"/>
    </row>
    <row r="217" spans="1:1">
      <c r="A217" s="33"/>
    </row>
    <row r="218" spans="1:1">
      <c r="A218" s="33"/>
    </row>
    <row r="219" spans="1:1">
      <c r="A219" s="33"/>
    </row>
    <row r="220" spans="1:1">
      <c r="A220" s="33"/>
    </row>
    <row r="221" spans="1:1">
      <c r="A221" s="33"/>
    </row>
    <row r="222" spans="1:1">
      <c r="A222" s="33"/>
    </row>
    <row r="223" spans="1:1">
      <c r="A223" s="33"/>
    </row>
    <row r="224" spans="1:1">
      <c r="A224" s="33"/>
    </row>
    <row r="225" spans="1:1">
      <c r="A225" s="33"/>
    </row>
    <row r="226" spans="1:1">
      <c r="A226" s="33"/>
    </row>
    <row r="227" spans="1:1">
      <c r="A227" s="33"/>
    </row>
    <row r="228" spans="1:1">
      <c r="A228" s="33"/>
    </row>
    <row r="229" spans="1:1">
      <c r="A229" s="33"/>
    </row>
    <row r="230" spans="1:1">
      <c r="A230" s="33"/>
    </row>
    <row r="231" spans="1:1">
      <c r="A231" s="33"/>
    </row>
    <row r="232" spans="1:1">
      <c r="A232" s="33"/>
    </row>
    <row r="233" spans="1:1">
      <c r="A233" s="33"/>
    </row>
    <row r="234" spans="1:1">
      <c r="A234" s="33"/>
    </row>
    <row r="235" spans="1:1">
      <c r="A235" s="33"/>
    </row>
    <row r="236" spans="1:1">
      <c r="A236" s="33"/>
    </row>
    <row r="237" spans="1:1">
      <c r="A237" s="33"/>
    </row>
    <row r="238" spans="1:1">
      <c r="A238" s="33"/>
    </row>
    <row r="239" spans="1:1">
      <c r="A239" s="33"/>
    </row>
    <row r="240" spans="1:1">
      <c r="A240" s="33"/>
    </row>
    <row r="241" spans="1:1">
      <c r="A241" s="33"/>
    </row>
    <row r="242" spans="1:1">
      <c r="A242" s="33"/>
    </row>
    <row r="243" spans="1:1">
      <c r="A243" s="33"/>
    </row>
    <row r="244" spans="1:1">
      <c r="A244" s="33"/>
    </row>
    <row r="245" spans="1:1">
      <c r="A245" s="33"/>
    </row>
    <row r="246" spans="1:1">
      <c r="A246" s="33"/>
    </row>
    <row r="247" spans="1:1">
      <c r="A247" s="33"/>
    </row>
    <row r="248" spans="1:1">
      <c r="A248" s="33"/>
    </row>
    <row r="249" spans="1:1">
      <c r="A249" s="33"/>
    </row>
    <row r="250" spans="1:1">
      <c r="A250" s="33"/>
    </row>
    <row r="251" spans="1:1">
      <c r="A251" s="33"/>
    </row>
    <row r="252" spans="1:1">
      <c r="A252" s="33"/>
    </row>
    <row r="253" spans="1:1">
      <c r="A253" s="33"/>
    </row>
    <row r="254" spans="1:1">
      <c r="A254" s="33"/>
    </row>
    <row r="255" spans="1:1">
      <c r="A255" s="33"/>
    </row>
    <row r="256" spans="1:1">
      <c r="A256" s="33"/>
    </row>
    <row r="257" spans="1:1">
      <c r="A257" s="33"/>
    </row>
    <row r="258" spans="1:1">
      <c r="A258" s="33"/>
    </row>
    <row r="259" spans="1:1">
      <c r="A259" s="33"/>
    </row>
    <row r="260" spans="1:1">
      <c r="A260" s="33"/>
    </row>
    <row r="261" spans="1:1">
      <c r="A261" s="33"/>
    </row>
    <row r="262" spans="1:1">
      <c r="A262" s="33"/>
    </row>
    <row r="263" spans="1:1">
      <c r="A263" s="33"/>
    </row>
    <row r="264" spans="1:1">
      <c r="A264" s="33"/>
    </row>
    <row r="265" spans="1:1">
      <c r="A265" s="33"/>
    </row>
    <row r="266" spans="1:1">
      <c r="A266" s="33"/>
    </row>
    <row r="267" spans="1:1">
      <c r="A267" s="33"/>
    </row>
    <row r="268" spans="1:1">
      <c r="A268" s="33"/>
    </row>
    <row r="269" spans="1:1">
      <c r="A269" s="33"/>
    </row>
    <row r="270" spans="1:1">
      <c r="A270" s="33"/>
    </row>
    <row r="271" spans="1:1">
      <c r="A271" s="33"/>
    </row>
    <row r="272" spans="1:1">
      <c r="A272" s="33"/>
    </row>
    <row r="273" spans="1:1">
      <c r="A273" s="33"/>
    </row>
    <row r="274" spans="1:1">
      <c r="A274" s="33"/>
    </row>
    <row r="275" spans="1:1">
      <c r="A275" s="33"/>
    </row>
    <row r="276" spans="1:1">
      <c r="A276" s="33"/>
    </row>
    <row r="277" spans="1:1">
      <c r="A277" s="33"/>
    </row>
    <row r="278" spans="1:1">
      <c r="A278" s="33"/>
    </row>
    <row r="279" spans="1:1">
      <c r="A279" s="33"/>
    </row>
    <row r="280" spans="1:1">
      <c r="A280" s="33"/>
    </row>
    <row r="281" spans="1:1">
      <c r="A281" s="33"/>
    </row>
    <row r="282" spans="1:1">
      <c r="A282" s="33"/>
    </row>
    <row r="283" spans="1:1">
      <c r="A283" s="33"/>
    </row>
    <row r="284" spans="1:1">
      <c r="A284" s="33"/>
    </row>
    <row r="285" spans="1:1">
      <c r="A285" s="33"/>
    </row>
    <row r="286" spans="1:1">
      <c r="A286" s="33"/>
    </row>
    <row r="287" spans="1:1">
      <c r="A287" s="33"/>
    </row>
    <row r="288" spans="1:1">
      <c r="A288" s="33"/>
    </row>
    <row r="289" spans="1:1">
      <c r="A289" s="33"/>
    </row>
    <row r="290" spans="1:1">
      <c r="A290" s="33"/>
    </row>
    <row r="291" ht="13.75" spans="1:4">
      <c r="A291" s="34"/>
      <c r="B291" s="35"/>
      <c r="C291" s="35"/>
      <c r="D291" s="35"/>
    </row>
  </sheetData>
  <mergeCells count="1">
    <mergeCell ref="A3:D3"/>
  </mergeCells>
  <printOptions horizontalCentered="1" verticalCentered="1"/>
  <pageMargins left="0.708333333333333" right="0.708333333333333" top="0.747916666666667" bottom="0.747916666666667" header="0.314583333333333" footer="0.590277777777778"/>
  <pageSetup paperSize="9" firstPageNumber="62" orientation="portrait" useFirstPageNumber="1" horizontalDpi="600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workbookViewId="0">
      <selection activeCell="B23" sqref="B23"/>
    </sheetView>
  </sheetViews>
  <sheetFormatPr defaultColWidth="9.125" defaultRowHeight="14.25" customHeight="1" outlineLevelCol="4"/>
  <cols>
    <col min="1" max="1" width="6.25" style="359" customWidth="1"/>
    <col min="2" max="2" width="70" style="359" customWidth="1"/>
    <col min="3" max="3" width="13.75" style="380" customWidth="1"/>
    <col min="4" max="4" width="7.375" style="296" customWidth="1"/>
    <col min="5" max="5" width="9.125" style="296"/>
    <col min="6" max="16384" width="9.125" style="359"/>
  </cols>
  <sheetData>
    <row r="1" ht="45" customHeight="1" spans="1:4">
      <c r="A1" s="828" t="s">
        <v>4</v>
      </c>
      <c r="B1" s="828"/>
      <c r="C1" s="828"/>
      <c r="D1" s="385"/>
    </row>
    <row r="2" ht="39.95" customHeight="1" spans="1:4">
      <c r="A2" s="381"/>
      <c r="B2" s="386" t="s">
        <v>16</v>
      </c>
      <c r="C2" s="387" t="s">
        <v>17</v>
      </c>
      <c r="D2" s="388"/>
    </row>
    <row r="3" ht="39.95" customHeight="1" spans="1:4">
      <c r="A3" s="381"/>
      <c r="B3" s="386" t="s">
        <v>18</v>
      </c>
      <c r="C3" s="387" t="s">
        <v>19</v>
      </c>
      <c r="D3" s="388"/>
    </row>
    <row r="4" ht="39.95" customHeight="1" spans="1:4">
      <c r="A4" s="381"/>
      <c r="B4" s="386" t="s">
        <v>20</v>
      </c>
      <c r="C4" s="387" t="s">
        <v>21</v>
      </c>
      <c r="D4" s="388"/>
    </row>
    <row r="5" ht="39.95" customHeight="1" spans="1:5">
      <c r="A5" s="381"/>
      <c r="B5" s="386" t="s">
        <v>22</v>
      </c>
      <c r="C5" s="389" t="s">
        <v>23</v>
      </c>
      <c r="D5" s="388"/>
      <c r="E5" s="390"/>
    </row>
    <row r="6" ht="39.95" customHeight="1" spans="1:4">
      <c r="A6" s="381"/>
      <c r="B6" s="386" t="s">
        <v>24</v>
      </c>
      <c r="C6" s="387" t="s">
        <v>25</v>
      </c>
      <c r="D6" s="388"/>
    </row>
    <row r="7" ht="39.95" customHeight="1" spans="1:4">
      <c r="A7" s="381"/>
      <c r="B7" s="386" t="s">
        <v>26</v>
      </c>
      <c r="C7" s="387" t="s">
        <v>27</v>
      </c>
      <c r="D7" s="391"/>
    </row>
    <row r="8" ht="39.95" customHeight="1" spans="1:4">
      <c r="A8" s="381"/>
      <c r="B8" s="386" t="s">
        <v>28</v>
      </c>
      <c r="C8" s="387" t="s">
        <v>29</v>
      </c>
      <c r="D8" s="391"/>
    </row>
    <row r="9" ht="39.95" customHeight="1" spans="1:4">
      <c r="A9" s="381"/>
      <c r="B9" s="386" t="s">
        <v>30</v>
      </c>
      <c r="C9" s="387" t="s">
        <v>31</v>
      </c>
      <c r="D9" s="391"/>
    </row>
    <row r="10" ht="39.95" customHeight="1" spans="1:4">
      <c r="A10" s="381"/>
      <c r="B10" s="386" t="s">
        <v>32</v>
      </c>
      <c r="C10" s="387" t="s">
        <v>33</v>
      </c>
      <c r="D10" s="391"/>
    </row>
  </sheetData>
  <mergeCells count="1">
    <mergeCell ref="A1:C1"/>
  </mergeCells>
  <printOptions horizontalCentered="1"/>
  <pageMargins left="0.747916666666667" right="0.747916666666667" top="0.984027777777778" bottom="0.786805555555556" header="0.511805555555556" footer="0.590277777777778"/>
  <pageSetup paperSize="9" firstPageNumber="2" orientation="landscape" useFirstPageNumber="1" horizontalDpi="600"/>
  <headerFooter alignWithMargins="0">
    <oddFooter>&amp;C2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2"/>
  <sheetViews>
    <sheetView showZeros="0" workbookViewId="0">
      <pane xSplit="1" ySplit="6" topLeftCell="B23" activePane="bottomRight" state="frozen"/>
      <selection/>
      <selection pane="topRight"/>
      <selection pane="bottomLeft"/>
      <selection pane="bottomRight" activeCell="O23" sqref="O23"/>
    </sheetView>
  </sheetViews>
  <sheetFormatPr defaultColWidth="9" defaultRowHeight="12.5"/>
  <cols>
    <col min="1" max="1" width="28.55" style="747" customWidth="1"/>
    <col min="2" max="2" width="9.29166666666667" style="747" customWidth="1"/>
    <col min="3" max="3" width="10.0583333333333" style="296" customWidth="1"/>
    <col min="4" max="4" width="10.35" style="296" customWidth="1"/>
    <col min="5" max="5" width="8.76666666666667" style="296" customWidth="1"/>
    <col min="6" max="6" width="10.1666666666667" style="748" customWidth="1"/>
    <col min="7" max="7" width="8.98333333333333" style="314" customWidth="1"/>
    <col min="8" max="8" width="9" style="747"/>
    <col min="9" max="9" width="15.375" style="747"/>
    <col min="10" max="16384" width="9" style="747"/>
  </cols>
  <sheetData>
    <row r="1" ht="12.95" customHeight="1" spans="1:1">
      <c r="A1" s="749" t="s">
        <v>34</v>
      </c>
    </row>
    <row r="2" ht="18" customHeight="1" spans="1:7">
      <c r="A2" s="750" t="s">
        <v>35</v>
      </c>
      <c r="B2" s="750"/>
      <c r="C2" s="750"/>
      <c r="D2" s="750"/>
      <c r="E2" s="410"/>
      <c r="F2" s="410"/>
      <c r="G2" s="410"/>
    </row>
    <row r="3" ht="15.75" customHeight="1" spans="1:7">
      <c r="A3" s="751"/>
      <c r="B3" s="752"/>
      <c r="C3" s="753"/>
      <c r="D3" s="753"/>
      <c r="E3" s="754" t="s">
        <v>36</v>
      </c>
      <c r="F3" s="567"/>
      <c r="G3" s="567"/>
    </row>
    <row r="4" ht="14.1" customHeight="1" spans="1:7">
      <c r="A4" s="755" t="s">
        <v>37</v>
      </c>
      <c r="B4" s="756" t="s">
        <v>38</v>
      </c>
      <c r="C4" s="756" t="s">
        <v>39</v>
      </c>
      <c r="D4" s="757" t="s">
        <v>40</v>
      </c>
      <c r="E4" s="758" t="s">
        <v>41</v>
      </c>
      <c r="F4" s="319"/>
      <c r="G4" s="759"/>
    </row>
    <row r="5" ht="39" customHeight="1" spans="1:7">
      <c r="A5" s="760"/>
      <c r="B5" s="761"/>
      <c r="C5" s="761"/>
      <c r="D5" s="762"/>
      <c r="E5" s="763" t="s">
        <v>42</v>
      </c>
      <c r="F5" s="764" t="s">
        <v>43</v>
      </c>
      <c r="G5" s="578" t="s">
        <v>44</v>
      </c>
    </row>
    <row r="6" s="746" customFormat="1" ht="18" customHeight="1" spans="1:9">
      <c r="A6" s="765" t="s">
        <v>45</v>
      </c>
      <c r="B6" s="766">
        <f>B7+B22</f>
        <v>682191</v>
      </c>
      <c r="C6" s="583">
        <f>SUM(C7,C22)</f>
        <v>702000</v>
      </c>
      <c r="D6" s="767">
        <f>D22+D7</f>
        <v>720000</v>
      </c>
      <c r="E6" s="582">
        <f>E22+E7</f>
        <v>737000</v>
      </c>
      <c r="F6" s="768">
        <f t="shared" ref="F6:F20" si="0">E6/D6*100</f>
        <v>102.361111111111</v>
      </c>
      <c r="G6" s="769">
        <f t="shared" ref="G6:G38" si="1">(E6/B6-1)*100</f>
        <v>8.03426019985605</v>
      </c>
      <c r="H6" s="746">
        <v>711038.171973</v>
      </c>
      <c r="I6" s="746">
        <f t="shared" ref="I6:I42" si="2">E6-H6</f>
        <v>25961.828027</v>
      </c>
    </row>
    <row r="7" s="746" customFormat="1" ht="18" customHeight="1" spans="1:9">
      <c r="A7" s="770" t="s">
        <v>46</v>
      </c>
      <c r="B7" s="771">
        <f>SUM(B8:B21)</f>
        <v>469516</v>
      </c>
      <c r="C7" s="588">
        <f>SUM(C8:C20)</f>
        <v>626000</v>
      </c>
      <c r="D7" s="772">
        <f>SUM(D8:D20)</f>
        <v>498300</v>
      </c>
      <c r="E7" s="587">
        <f>SUM(E8:E21)</f>
        <v>508800</v>
      </c>
      <c r="F7" s="773">
        <f t="shared" si="0"/>
        <v>102.10716435882</v>
      </c>
      <c r="G7" s="774">
        <f t="shared" si="1"/>
        <v>8.36691401357994</v>
      </c>
      <c r="H7" s="746">
        <v>482121.538851</v>
      </c>
      <c r="I7" s="746">
        <f t="shared" si="2"/>
        <v>26678.461149</v>
      </c>
    </row>
    <row r="8" ht="18" customHeight="1" spans="1:10">
      <c r="A8" s="775" t="s">
        <v>47</v>
      </c>
      <c r="B8" s="776">
        <v>193192</v>
      </c>
      <c r="C8" s="593">
        <v>210000</v>
      </c>
      <c r="D8" s="777">
        <v>245500</v>
      </c>
      <c r="E8" s="593">
        <v>259000</v>
      </c>
      <c r="F8" s="778">
        <f t="shared" si="0"/>
        <v>105.498981670061</v>
      </c>
      <c r="G8" s="594">
        <f t="shared" si="1"/>
        <v>34.06352229906</v>
      </c>
      <c r="H8" s="779">
        <v>239671.545866</v>
      </c>
      <c r="I8" s="746">
        <f t="shared" si="2"/>
        <v>19328.454134</v>
      </c>
      <c r="J8" s="779"/>
    </row>
    <row r="9" ht="18" customHeight="1" spans="1:9">
      <c r="A9" s="775" t="s">
        <v>48</v>
      </c>
      <c r="B9" s="780">
        <v>53220</v>
      </c>
      <c r="C9" s="593">
        <v>60000</v>
      </c>
      <c r="D9" s="777">
        <v>59000</v>
      </c>
      <c r="E9" s="593">
        <v>57250</v>
      </c>
      <c r="F9" s="778">
        <f t="shared" si="0"/>
        <v>97.0338983050847</v>
      </c>
      <c r="G9" s="594">
        <f t="shared" si="1"/>
        <v>7.57234122510335</v>
      </c>
      <c r="H9" s="779">
        <v>57858.78257</v>
      </c>
      <c r="I9" s="746">
        <f t="shared" si="2"/>
        <v>-608.782570000003</v>
      </c>
    </row>
    <row r="10" s="746" customFormat="1" ht="18" customHeight="1" spans="1:9">
      <c r="A10" s="775" t="s">
        <v>49</v>
      </c>
      <c r="B10" s="780">
        <v>14903</v>
      </c>
      <c r="C10" s="593">
        <v>39000</v>
      </c>
      <c r="D10" s="777">
        <v>33500</v>
      </c>
      <c r="E10" s="593">
        <v>21750</v>
      </c>
      <c r="F10" s="778">
        <f t="shared" si="0"/>
        <v>64.9253731343284</v>
      </c>
      <c r="G10" s="594">
        <f t="shared" si="1"/>
        <v>45.9437697107965</v>
      </c>
      <c r="H10" s="779">
        <v>33224.318909</v>
      </c>
      <c r="I10" s="746">
        <f t="shared" si="2"/>
        <v>-11474.318909</v>
      </c>
    </row>
    <row r="11" ht="18" customHeight="1" spans="1:9">
      <c r="A11" s="775" t="s">
        <v>50</v>
      </c>
      <c r="B11" s="780">
        <v>1949</v>
      </c>
      <c r="C11" s="593">
        <v>3000</v>
      </c>
      <c r="D11" s="777">
        <v>1300</v>
      </c>
      <c r="E11" s="593">
        <v>1300</v>
      </c>
      <c r="F11" s="778">
        <f t="shared" si="0"/>
        <v>100</v>
      </c>
      <c r="G11" s="594">
        <f t="shared" si="1"/>
        <v>-33.2991277578245</v>
      </c>
      <c r="H11" s="779">
        <v>1219.831787</v>
      </c>
      <c r="I11" s="746">
        <f t="shared" si="2"/>
        <v>80.1682129999999</v>
      </c>
    </row>
    <row r="12" ht="18" customHeight="1" spans="1:9">
      <c r="A12" s="775" t="s">
        <v>51</v>
      </c>
      <c r="B12" s="780">
        <v>18826</v>
      </c>
      <c r="C12" s="593">
        <v>29000</v>
      </c>
      <c r="D12" s="777">
        <v>22000</v>
      </c>
      <c r="E12" s="593">
        <v>23000</v>
      </c>
      <c r="F12" s="778">
        <f t="shared" si="0"/>
        <v>104.545454545455</v>
      </c>
      <c r="G12" s="594">
        <f t="shared" si="1"/>
        <v>22.1714649952194</v>
      </c>
      <c r="H12" s="779">
        <v>22175.66808</v>
      </c>
      <c r="I12" s="746">
        <f t="shared" si="2"/>
        <v>824.331920000001</v>
      </c>
    </row>
    <row r="13" s="746" customFormat="1" ht="18" customHeight="1" spans="1:9">
      <c r="A13" s="775" t="s">
        <v>52</v>
      </c>
      <c r="B13" s="780">
        <v>25714</v>
      </c>
      <c r="C13" s="593">
        <v>40000</v>
      </c>
      <c r="D13" s="777">
        <v>28000</v>
      </c>
      <c r="E13" s="593">
        <v>28000</v>
      </c>
      <c r="F13" s="778">
        <f t="shared" si="0"/>
        <v>100</v>
      </c>
      <c r="G13" s="594">
        <f t="shared" si="1"/>
        <v>8.89009877887532</v>
      </c>
      <c r="H13" s="779">
        <v>27152.636384</v>
      </c>
      <c r="I13" s="746">
        <f t="shared" si="2"/>
        <v>847.363615999999</v>
      </c>
    </row>
    <row r="14" s="746" customFormat="1" ht="18" customHeight="1" spans="1:9">
      <c r="A14" s="775" t="s">
        <v>53</v>
      </c>
      <c r="B14" s="780">
        <v>8161</v>
      </c>
      <c r="C14" s="593">
        <v>13700</v>
      </c>
      <c r="D14" s="777">
        <v>10000</v>
      </c>
      <c r="E14" s="593">
        <v>10000</v>
      </c>
      <c r="F14" s="778">
        <f t="shared" si="0"/>
        <v>100</v>
      </c>
      <c r="G14" s="594">
        <f t="shared" si="1"/>
        <v>22.5340031858841</v>
      </c>
      <c r="H14" s="779">
        <v>8190.304316</v>
      </c>
      <c r="I14" s="746">
        <f t="shared" si="2"/>
        <v>1809.695684</v>
      </c>
    </row>
    <row r="15" ht="18" customHeight="1" spans="1:9">
      <c r="A15" s="775" t="s">
        <v>54</v>
      </c>
      <c r="B15" s="780">
        <v>14586</v>
      </c>
      <c r="C15" s="593">
        <v>22000</v>
      </c>
      <c r="D15" s="777">
        <v>20000</v>
      </c>
      <c r="E15" s="593">
        <v>20000</v>
      </c>
      <c r="F15" s="778">
        <f t="shared" si="0"/>
        <v>100</v>
      </c>
      <c r="G15" s="594">
        <f t="shared" si="1"/>
        <v>37.1177841766077</v>
      </c>
      <c r="H15" s="779">
        <v>15800.983823</v>
      </c>
      <c r="I15" s="746">
        <f t="shared" si="2"/>
        <v>4199.016177</v>
      </c>
    </row>
    <row r="16" ht="18" customHeight="1" spans="1:9">
      <c r="A16" s="775" t="s">
        <v>55</v>
      </c>
      <c r="B16" s="780">
        <v>80518</v>
      </c>
      <c r="C16" s="593">
        <v>126000</v>
      </c>
      <c r="D16" s="777">
        <v>39000</v>
      </c>
      <c r="E16" s="593">
        <v>42500</v>
      </c>
      <c r="F16" s="778">
        <f t="shared" si="0"/>
        <v>108.974358974359</v>
      </c>
      <c r="G16" s="594">
        <f t="shared" si="1"/>
        <v>-47.2167714051516</v>
      </c>
      <c r="H16" s="779">
        <v>39720.390025</v>
      </c>
      <c r="I16" s="746">
        <f t="shared" si="2"/>
        <v>2779.609975</v>
      </c>
    </row>
    <row r="17" s="746" customFormat="1" ht="18" customHeight="1" spans="1:9">
      <c r="A17" s="775" t="s">
        <v>56</v>
      </c>
      <c r="B17" s="780">
        <v>9917</v>
      </c>
      <c r="C17" s="593">
        <v>15000</v>
      </c>
      <c r="D17" s="777">
        <v>11000</v>
      </c>
      <c r="E17" s="593">
        <v>11000</v>
      </c>
      <c r="F17" s="778">
        <f t="shared" si="0"/>
        <v>100</v>
      </c>
      <c r="G17" s="594">
        <f t="shared" si="1"/>
        <v>10.9206413229807</v>
      </c>
      <c r="H17" s="779">
        <v>9404.339795</v>
      </c>
      <c r="I17" s="746">
        <f t="shared" si="2"/>
        <v>1595.660205</v>
      </c>
    </row>
    <row r="18" ht="18" customHeight="1" spans="1:9">
      <c r="A18" s="775" t="s">
        <v>57</v>
      </c>
      <c r="B18" s="781">
        <v>2382</v>
      </c>
      <c r="C18" s="593">
        <v>4000</v>
      </c>
      <c r="D18" s="777">
        <v>3500</v>
      </c>
      <c r="E18" s="593">
        <v>4500</v>
      </c>
      <c r="F18" s="778">
        <f t="shared" si="0"/>
        <v>128.571428571429</v>
      </c>
      <c r="G18" s="594">
        <f t="shared" si="1"/>
        <v>88.9168765743073</v>
      </c>
      <c r="H18" s="779">
        <v>2946.27981</v>
      </c>
      <c r="I18" s="746">
        <f t="shared" si="2"/>
        <v>1553.72019</v>
      </c>
    </row>
    <row r="19" ht="18" customHeight="1" spans="1:9">
      <c r="A19" s="775" t="s">
        <v>58</v>
      </c>
      <c r="B19" s="776">
        <v>44724</v>
      </c>
      <c r="C19" s="593">
        <v>61800</v>
      </c>
      <c r="D19" s="777">
        <v>24000</v>
      </c>
      <c r="E19" s="593">
        <v>29000</v>
      </c>
      <c r="F19" s="778">
        <f t="shared" si="0"/>
        <v>120.833333333333</v>
      </c>
      <c r="G19" s="594">
        <f t="shared" si="1"/>
        <v>-35.1578570789733</v>
      </c>
      <c r="H19" s="779">
        <v>23498.811021</v>
      </c>
      <c r="I19" s="746">
        <f t="shared" si="2"/>
        <v>5501.188979</v>
      </c>
    </row>
    <row r="20" ht="18" customHeight="1" spans="1:9">
      <c r="A20" s="775" t="s">
        <v>59</v>
      </c>
      <c r="B20" s="780">
        <v>1194</v>
      </c>
      <c r="C20" s="593">
        <v>2500</v>
      </c>
      <c r="D20" s="777">
        <v>1500</v>
      </c>
      <c r="E20" s="593">
        <v>1500</v>
      </c>
      <c r="F20" s="778">
        <f t="shared" si="0"/>
        <v>100</v>
      </c>
      <c r="G20" s="594">
        <f t="shared" si="1"/>
        <v>25.6281407035176</v>
      </c>
      <c r="H20" s="779">
        <v>1257.096038</v>
      </c>
      <c r="I20" s="746">
        <f t="shared" si="2"/>
        <v>242.903962</v>
      </c>
    </row>
    <row r="21" ht="18" customHeight="1" spans="1:9">
      <c r="A21" s="775" t="s">
        <v>60</v>
      </c>
      <c r="B21" s="780">
        <v>230</v>
      </c>
      <c r="C21" s="593"/>
      <c r="D21" s="777"/>
      <c r="E21" s="593"/>
      <c r="F21" s="782"/>
      <c r="G21" s="594">
        <f t="shared" si="1"/>
        <v>-100</v>
      </c>
      <c r="H21" s="779">
        <v>0.550427</v>
      </c>
      <c r="I21" s="746">
        <f t="shared" si="2"/>
        <v>-0.550427</v>
      </c>
    </row>
    <row r="22" ht="18" customHeight="1" spans="1:9">
      <c r="A22" s="770" t="s">
        <v>61</v>
      </c>
      <c r="B22" s="783">
        <f>SUM(B23:B26)</f>
        <v>212675</v>
      </c>
      <c r="C22" s="588">
        <f>SUM(C23:C26)</f>
        <v>76000</v>
      </c>
      <c r="D22" s="784">
        <f>SUM(D23:D26)</f>
        <v>221700</v>
      </c>
      <c r="E22" s="588">
        <f>SUM(E23:E26)</f>
        <v>228200</v>
      </c>
      <c r="F22" s="773">
        <f t="shared" ref="F22:F35" si="3">E22/D22*100</f>
        <v>102.931889941362</v>
      </c>
      <c r="G22" s="785">
        <f t="shared" si="1"/>
        <v>7.299870694722</v>
      </c>
      <c r="H22" s="747">
        <v>228916.633122</v>
      </c>
      <c r="I22" s="746">
        <f t="shared" si="2"/>
        <v>-716.633121999999</v>
      </c>
    </row>
    <row r="23" ht="18" customHeight="1" spans="1:9">
      <c r="A23" s="775" t="s">
        <v>62</v>
      </c>
      <c r="B23" s="786">
        <v>89212</v>
      </c>
      <c r="C23" s="593">
        <v>25000</v>
      </c>
      <c r="D23" s="777">
        <v>22200</v>
      </c>
      <c r="E23" s="593">
        <v>22200</v>
      </c>
      <c r="F23" s="778">
        <f t="shared" si="3"/>
        <v>100</v>
      </c>
      <c r="G23" s="594">
        <f t="shared" si="1"/>
        <v>-75.1154553199121</v>
      </c>
      <c r="H23" s="747">
        <v>28898.426696</v>
      </c>
      <c r="I23" s="746">
        <f t="shared" si="2"/>
        <v>-6698.426696</v>
      </c>
    </row>
    <row r="24" ht="18" customHeight="1" spans="1:9">
      <c r="A24" s="775" t="s">
        <v>63</v>
      </c>
      <c r="B24" s="786">
        <v>13204</v>
      </c>
      <c r="C24" s="593">
        <v>13000</v>
      </c>
      <c r="D24" s="777">
        <v>12500</v>
      </c>
      <c r="E24" s="593">
        <v>13000</v>
      </c>
      <c r="F24" s="778">
        <f t="shared" si="3"/>
        <v>104</v>
      </c>
      <c r="G24" s="594">
        <f t="shared" si="1"/>
        <v>-1.54498636776734</v>
      </c>
      <c r="H24" s="747">
        <v>12222.964465</v>
      </c>
      <c r="I24" s="746">
        <f t="shared" si="2"/>
        <v>777.035535000001</v>
      </c>
    </row>
    <row r="25" ht="18" customHeight="1" spans="1:9">
      <c r="A25" s="775" t="s">
        <v>64</v>
      </c>
      <c r="B25" s="786">
        <v>32253</v>
      </c>
      <c r="C25" s="593">
        <v>18000</v>
      </c>
      <c r="D25" s="777">
        <v>32000</v>
      </c>
      <c r="E25" s="593">
        <v>33000</v>
      </c>
      <c r="F25" s="778">
        <f t="shared" si="3"/>
        <v>103.125</v>
      </c>
      <c r="G25" s="594">
        <f t="shared" si="1"/>
        <v>2.31606362198866</v>
      </c>
      <c r="H25" s="747">
        <v>32457.751961</v>
      </c>
      <c r="I25" s="746">
        <f t="shared" si="2"/>
        <v>542.248038999998</v>
      </c>
    </row>
    <row r="26" ht="18" customHeight="1" spans="1:9">
      <c r="A26" s="787" t="s">
        <v>65</v>
      </c>
      <c r="B26" s="788">
        <v>78006</v>
      </c>
      <c r="C26" s="789">
        <v>20000</v>
      </c>
      <c r="D26" s="790">
        <v>155000</v>
      </c>
      <c r="E26" s="789">
        <v>160000</v>
      </c>
      <c r="F26" s="778">
        <f t="shared" si="3"/>
        <v>103.225806451613</v>
      </c>
      <c r="G26" s="791">
        <f t="shared" si="1"/>
        <v>105.112427249186</v>
      </c>
      <c r="H26" s="747">
        <v>155337.49</v>
      </c>
      <c r="I26" s="746">
        <f t="shared" si="2"/>
        <v>4662.51000000001</v>
      </c>
    </row>
    <row r="27" ht="18" customHeight="1" spans="1:9">
      <c r="A27" s="792" t="s">
        <v>66</v>
      </c>
      <c r="B27" s="793">
        <f>SUM(B28:B32)</f>
        <v>319397.5</v>
      </c>
      <c r="C27" s="583">
        <f>SUM(C28:C32)</f>
        <v>378000</v>
      </c>
      <c r="D27" s="794">
        <f>SUM(D28:D32)</f>
        <v>410000</v>
      </c>
      <c r="E27" s="583">
        <f>SUM(E28:E32)</f>
        <v>393000</v>
      </c>
      <c r="F27" s="795">
        <f t="shared" si="3"/>
        <v>95.8536585365854</v>
      </c>
      <c r="G27" s="796">
        <f t="shared" si="1"/>
        <v>23.0441690996329</v>
      </c>
      <c r="H27" s="747">
        <v>396638.5480845</v>
      </c>
      <c r="I27" s="746">
        <f t="shared" si="2"/>
        <v>-3638.54808450001</v>
      </c>
    </row>
    <row r="28" s="746" customFormat="1" ht="18" customHeight="1" spans="1:9">
      <c r="A28" s="797" t="s">
        <v>67</v>
      </c>
      <c r="B28" s="798">
        <f>B8</f>
        <v>193192</v>
      </c>
      <c r="C28" s="593">
        <f>C8</f>
        <v>210000</v>
      </c>
      <c r="D28" s="607">
        <v>245500</v>
      </c>
      <c r="E28" s="593">
        <f>E8*1</f>
        <v>259000</v>
      </c>
      <c r="F28" s="778">
        <f t="shared" si="3"/>
        <v>105.498981670061</v>
      </c>
      <c r="G28" s="594">
        <f t="shared" si="1"/>
        <v>34.06352229906</v>
      </c>
      <c r="H28" s="746">
        <v>239671.545866</v>
      </c>
      <c r="I28" s="746">
        <f t="shared" si="2"/>
        <v>19328.454134</v>
      </c>
    </row>
    <row r="29" ht="18" customHeight="1" spans="1:9">
      <c r="A29" s="797" t="s">
        <v>68</v>
      </c>
      <c r="B29" s="798">
        <v>545</v>
      </c>
      <c r="C29" s="593">
        <v>500</v>
      </c>
      <c r="D29" s="607">
        <v>1000</v>
      </c>
      <c r="E29" s="593">
        <v>1000</v>
      </c>
      <c r="F29" s="778">
        <f t="shared" si="3"/>
        <v>100</v>
      </c>
      <c r="G29" s="594">
        <f t="shared" si="1"/>
        <v>83.4862385321101</v>
      </c>
      <c r="H29" s="747">
        <v>971.8</v>
      </c>
      <c r="I29" s="746">
        <f t="shared" si="2"/>
        <v>28.2</v>
      </c>
    </row>
    <row r="30" ht="18" customHeight="1" spans="1:9">
      <c r="A30" s="797" t="s">
        <v>69</v>
      </c>
      <c r="B30" s="798">
        <f>B9*1.5</f>
        <v>79830</v>
      </c>
      <c r="C30" s="593">
        <f>C9*1.5</f>
        <v>90000</v>
      </c>
      <c r="D30" s="607">
        <v>88500</v>
      </c>
      <c r="E30" s="593">
        <f>E9*1.5</f>
        <v>85875</v>
      </c>
      <c r="F30" s="778">
        <f t="shared" si="3"/>
        <v>97.0338983050847</v>
      </c>
      <c r="G30" s="594">
        <f t="shared" si="1"/>
        <v>7.57234122510335</v>
      </c>
      <c r="H30" s="747">
        <v>86788.173855</v>
      </c>
      <c r="I30" s="746">
        <f t="shared" si="2"/>
        <v>-913.173855000001</v>
      </c>
    </row>
    <row r="31" ht="18" customHeight="1" spans="1:9">
      <c r="A31" s="797" t="s">
        <v>70</v>
      </c>
      <c r="B31" s="798">
        <f>B10*1.5</f>
        <v>22354.5</v>
      </c>
      <c r="C31" s="593">
        <f>C10*1.5</f>
        <v>58500</v>
      </c>
      <c r="D31" s="607">
        <v>50250</v>
      </c>
      <c r="E31" s="593">
        <f>E10*1.5</f>
        <v>32625</v>
      </c>
      <c r="F31" s="778">
        <f t="shared" si="3"/>
        <v>64.9253731343284</v>
      </c>
      <c r="G31" s="594">
        <f t="shared" si="1"/>
        <v>45.9437697107965</v>
      </c>
      <c r="H31" s="747">
        <v>49836.4783635</v>
      </c>
      <c r="I31" s="746">
        <f t="shared" si="2"/>
        <v>-17211.4783635</v>
      </c>
    </row>
    <row r="32" ht="18" customHeight="1" spans="1:9">
      <c r="A32" s="799" t="s">
        <v>71</v>
      </c>
      <c r="B32" s="800">
        <v>23476</v>
      </c>
      <c r="C32" s="789">
        <v>19000</v>
      </c>
      <c r="D32" s="801">
        <v>24750</v>
      </c>
      <c r="E32" s="789">
        <v>14500</v>
      </c>
      <c r="F32" s="802">
        <f t="shared" si="3"/>
        <v>58.5858585858586</v>
      </c>
      <c r="G32" s="791">
        <f t="shared" si="1"/>
        <v>-38.2347929800647</v>
      </c>
      <c r="H32" s="747">
        <v>19370.55</v>
      </c>
      <c r="I32" s="746">
        <f t="shared" si="2"/>
        <v>-4870.55</v>
      </c>
    </row>
    <row r="33" ht="18" customHeight="1" spans="1:9">
      <c r="A33" s="803" t="s">
        <v>72</v>
      </c>
      <c r="B33" s="804">
        <f>B27+B6</f>
        <v>1001588.5</v>
      </c>
      <c r="C33" s="805">
        <f>C27+C6</f>
        <v>1080000</v>
      </c>
      <c r="D33" s="806">
        <f>D27+D6</f>
        <v>1130000</v>
      </c>
      <c r="E33" s="807">
        <f>E27+E6</f>
        <v>1130000</v>
      </c>
      <c r="F33" s="795">
        <f t="shared" si="3"/>
        <v>100</v>
      </c>
      <c r="G33" s="584">
        <f t="shared" si="1"/>
        <v>12.8207841843232</v>
      </c>
      <c r="H33" s="747">
        <v>1107676.7200575</v>
      </c>
      <c r="I33" s="746">
        <f t="shared" si="2"/>
        <v>22323.2799424999</v>
      </c>
    </row>
    <row r="34" ht="18" customHeight="1" spans="1:9">
      <c r="A34" s="797" t="s">
        <v>73</v>
      </c>
      <c r="B34" s="808">
        <v>900673</v>
      </c>
      <c r="C34" s="596">
        <f>C27+C7-C36</f>
        <v>1054000</v>
      </c>
      <c r="D34" s="808">
        <f>D27+D7-D36</f>
        <v>968300</v>
      </c>
      <c r="E34" s="533">
        <f>E27+E7-E36</f>
        <v>966800</v>
      </c>
      <c r="F34" s="809">
        <f t="shared" si="3"/>
        <v>99.8450893318186</v>
      </c>
      <c r="G34" s="594">
        <f t="shared" si="1"/>
        <v>7.34195429417779</v>
      </c>
      <c r="H34" s="747">
        <v>935738.1369355</v>
      </c>
      <c r="I34" s="746">
        <f t="shared" si="2"/>
        <v>31061.8630645</v>
      </c>
    </row>
    <row r="35" s="746" customFormat="1" ht="18" customHeight="1" spans="1:9">
      <c r="A35" s="797" t="s">
        <v>74</v>
      </c>
      <c r="B35" s="808">
        <v>212679</v>
      </c>
      <c r="C35" s="596">
        <f>C22</f>
        <v>76000</v>
      </c>
      <c r="D35" s="808">
        <f>D22</f>
        <v>221700</v>
      </c>
      <c r="E35" s="533">
        <f>E22</f>
        <v>228200</v>
      </c>
      <c r="F35" s="809">
        <f t="shared" si="3"/>
        <v>102.931889941362</v>
      </c>
      <c r="G35" s="594">
        <f t="shared" si="1"/>
        <v>7.29785263237086</v>
      </c>
      <c r="H35" s="746">
        <v>228923.533122</v>
      </c>
      <c r="I35" s="746">
        <f t="shared" si="2"/>
        <v>-723.533121999993</v>
      </c>
    </row>
    <row r="36" s="746" customFormat="1" ht="18" customHeight="1" spans="1:9">
      <c r="A36" s="609" t="s">
        <v>75</v>
      </c>
      <c r="B36" s="808">
        <v>-111764</v>
      </c>
      <c r="C36" s="596">
        <v>-50000</v>
      </c>
      <c r="D36" s="808">
        <v>-60000</v>
      </c>
      <c r="E36" s="533">
        <v>-65000</v>
      </c>
      <c r="F36" s="809"/>
      <c r="G36" s="594">
        <f t="shared" si="1"/>
        <v>-41.8417379478186</v>
      </c>
      <c r="H36" s="746">
        <v>-56984.95</v>
      </c>
      <c r="I36" s="746">
        <f t="shared" si="2"/>
        <v>-8015.05</v>
      </c>
    </row>
    <row r="37" s="746" customFormat="1" ht="18" customHeight="1" spans="1:9">
      <c r="A37" s="810" t="s">
        <v>76</v>
      </c>
      <c r="B37" s="811">
        <v>-111748</v>
      </c>
      <c r="C37" s="596">
        <v>-50000</v>
      </c>
      <c r="D37" s="608">
        <v>-60000</v>
      </c>
      <c r="E37" s="533">
        <v>-65000</v>
      </c>
      <c r="F37" s="809"/>
      <c r="G37" s="594">
        <f t="shared" si="1"/>
        <v>-41.8334108887855</v>
      </c>
      <c r="H37" s="746">
        <v>-56959.88</v>
      </c>
      <c r="I37" s="746">
        <f t="shared" si="2"/>
        <v>-8040.12</v>
      </c>
    </row>
    <row r="38" s="746" customFormat="1" ht="18" customHeight="1" spans="1:9">
      <c r="A38" s="812" t="s">
        <v>77</v>
      </c>
      <c r="B38" s="813">
        <v>-11</v>
      </c>
      <c r="C38" s="814"/>
      <c r="D38" s="815"/>
      <c r="E38" s="533"/>
      <c r="F38" s="809"/>
      <c r="G38" s="594">
        <f t="shared" si="1"/>
        <v>-100</v>
      </c>
      <c r="H38" s="746">
        <v>-18.17</v>
      </c>
      <c r="I38" s="746">
        <f t="shared" si="2"/>
        <v>18.17</v>
      </c>
    </row>
    <row r="39" s="746" customFormat="1" ht="18" customHeight="1" spans="1:9">
      <c r="A39" s="816" t="s">
        <v>78</v>
      </c>
      <c r="B39" s="813">
        <v>-4</v>
      </c>
      <c r="C39" s="606"/>
      <c r="D39" s="817"/>
      <c r="E39" s="818"/>
      <c r="F39" s="819"/>
      <c r="G39" s="791"/>
      <c r="H39" s="746">
        <v>-6.9</v>
      </c>
      <c r="I39" s="746">
        <f t="shared" si="2"/>
        <v>6.9</v>
      </c>
    </row>
    <row r="40" s="746" customFormat="1" ht="18" customHeight="1" spans="1:9">
      <c r="A40" s="820" t="s">
        <v>79</v>
      </c>
      <c r="B40" s="821">
        <f>(B7+B27)/B33*100</f>
        <v>78.766229843893</v>
      </c>
      <c r="C40" s="822">
        <f>(C7+C27)/C33*100</f>
        <v>92.962962962963</v>
      </c>
      <c r="D40" s="822">
        <f>(D7+D27)/D33*100</f>
        <v>80.3805309734513</v>
      </c>
      <c r="E40" s="822">
        <f>(E7+E27)/E33*100</f>
        <v>79.8053097345133</v>
      </c>
      <c r="F40" s="822"/>
      <c r="G40" s="823"/>
      <c r="H40" s="746">
        <v>79.3336242446156</v>
      </c>
      <c r="I40" s="746">
        <f t="shared" si="2"/>
        <v>0.471685489897666</v>
      </c>
    </row>
    <row r="41" ht="18" customHeight="1" spans="1:9">
      <c r="A41" s="824" t="s">
        <v>80</v>
      </c>
      <c r="B41" s="825">
        <f>B7/B6*100</f>
        <v>68.8247133134269</v>
      </c>
      <c r="C41" s="826">
        <f>(C7)/C6*100</f>
        <v>89.1737891737892</v>
      </c>
      <c r="D41" s="826">
        <f>(D7)/D6*100</f>
        <v>69.2083333333333</v>
      </c>
      <c r="E41" s="826">
        <f>E7/E6*100</f>
        <v>69.0366350067843</v>
      </c>
      <c r="F41" s="827"/>
      <c r="G41" s="619"/>
      <c r="H41" s="747">
        <v>67.8052962351095</v>
      </c>
      <c r="I41" s="746">
        <f t="shared" si="2"/>
        <v>1.23133877167477</v>
      </c>
    </row>
    <row r="42" ht="15" spans="8:9">
      <c r="H42" s="747">
        <v>274782.470873</v>
      </c>
      <c r="I42" s="746">
        <f t="shared" si="2"/>
        <v>-274782.470873</v>
      </c>
    </row>
  </sheetData>
  <mergeCells count="7">
    <mergeCell ref="A2:G2"/>
    <mergeCell ref="E3:G3"/>
    <mergeCell ref="E4:G4"/>
    <mergeCell ref="A4:A5"/>
    <mergeCell ref="B4:B5"/>
    <mergeCell ref="C4:C5"/>
    <mergeCell ref="D4:D5"/>
  </mergeCells>
  <printOptions horizontalCentered="1"/>
  <pageMargins left="0.354166666666667" right="0.393055555555556" top="0.708333333333333" bottom="0.786805555555556" header="0.511805555555556" footer="0.590277777777778"/>
  <pageSetup paperSize="9" firstPageNumber="3" orientation="portrait" useFirstPageNumber="1" horizontalDpi="600"/>
  <headerFooter alignWithMargins="0">
    <oddFooter>&amp;C3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/>
    <pageSetUpPr fitToPage="1"/>
  </sheetPr>
  <dimension ref="A1:DU656"/>
  <sheetViews>
    <sheetView showZeros="0" tabSelected="1" workbookViewId="0">
      <pane xSplit="1" ySplit="5" topLeftCell="B511" activePane="bottomRight" state="frozen"/>
      <selection/>
      <selection pane="topRight"/>
      <selection pane="bottomLeft"/>
      <selection pane="bottomRight" activeCell="Q521" sqref="Q521"/>
    </sheetView>
  </sheetViews>
  <sheetFormatPr defaultColWidth="9" defaultRowHeight="15"/>
  <cols>
    <col min="1" max="1" width="25.225" style="646" customWidth="1"/>
    <col min="2" max="2" width="11.75" style="647" customWidth="1"/>
    <col min="3" max="3" width="10.25" style="648" customWidth="1"/>
    <col min="4" max="4" width="10.125" style="649" customWidth="1"/>
    <col min="5" max="5" width="10.375" style="650" customWidth="1"/>
    <col min="6" max="6" width="8.875" style="651" customWidth="1"/>
    <col min="7" max="7" width="7.08333333333333" style="651" customWidth="1"/>
    <col min="8" max="8" width="8.41666666666667" style="652" customWidth="1"/>
    <col min="9" max="9" width="10.875" style="653" hidden="1" customWidth="1"/>
    <col min="10" max="10" width="15.5" style="653" hidden="1" customWidth="1"/>
    <col min="11" max="11" width="2" style="654" hidden="1" customWidth="1"/>
    <col min="12" max="12" width="1.5" style="653" hidden="1" customWidth="1"/>
    <col min="13" max="125" width="9" style="653" customWidth="1"/>
    <col min="126" max="16384" width="9" style="655"/>
  </cols>
  <sheetData>
    <row r="1" ht="21" customHeight="1" spans="1:2">
      <c r="A1" s="656" t="s">
        <v>81</v>
      </c>
      <c r="B1" s="657"/>
    </row>
    <row r="2" s="642" customFormat="1" ht="24" customHeight="1" spans="1:11">
      <c r="A2" s="658" t="s">
        <v>82</v>
      </c>
      <c r="B2" s="659"/>
      <c r="C2" s="658"/>
      <c r="D2" s="658"/>
      <c r="E2" s="658"/>
      <c r="F2" s="658"/>
      <c r="G2" s="658"/>
      <c r="H2" s="658"/>
      <c r="I2" s="653"/>
      <c r="J2" s="653"/>
      <c r="K2" s="654"/>
    </row>
    <row r="3" s="642" customFormat="1" ht="18.95" customHeight="1" spans="1:11">
      <c r="A3" s="660"/>
      <c r="B3" s="661"/>
      <c r="C3" s="662"/>
      <c r="D3" s="663"/>
      <c r="E3" s="664"/>
      <c r="F3" s="665"/>
      <c r="G3" s="666" t="s">
        <v>36</v>
      </c>
      <c r="H3" s="666"/>
      <c r="I3" s="653"/>
      <c r="J3" s="653"/>
      <c r="K3" s="654"/>
    </row>
    <row r="4" s="643" customFormat="1" ht="15.95" customHeight="1" spans="1:11">
      <c r="A4" s="667" t="s">
        <v>83</v>
      </c>
      <c r="B4" s="668" t="s">
        <v>84</v>
      </c>
      <c r="C4" s="669" t="s">
        <v>85</v>
      </c>
      <c r="D4" s="669"/>
      <c r="E4" s="669"/>
      <c r="F4" s="669"/>
      <c r="G4" s="669"/>
      <c r="H4" s="670" t="s">
        <v>86</v>
      </c>
      <c r="I4" s="653"/>
      <c r="J4" s="653"/>
      <c r="K4" s="654"/>
    </row>
    <row r="5" s="643" customFormat="1" ht="32" customHeight="1" spans="1:11">
      <c r="A5" s="667"/>
      <c r="B5" s="671"/>
      <c r="C5" s="672" t="s">
        <v>87</v>
      </c>
      <c r="D5" s="673" t="s">
        <v>88</v>
      </c>
      <c r="E5" s="674" t="s">
        <v>42</v>
      </c>
      <c r="F5" s="675" t="s">
        <v>43</v>
      </c>
      <c r="G5" s="675" t="s">
        <v>44</v>
      </c>
      <c r="H5" s="670"/>
      <c r="I5" s="653"/>
      <c r="J5" s="653"/>
      <c r="K5" s="654"/>
    </row>
    <row r="6" ht="21" customHeight="1" spans="1:12">
      <c r="A6" s="676" t="s">
        <v>89</v>
      </c>
      <c r="B6" s="677">
        <f>B7+B15+B21+B28+B35+B41+B48+B50+B56+B60+B66+B70+B74+B77+B81+B86+B92+B97+B102+B110</f>
        <v>63369</v>
      </c>
      <c r="C6" s="678">
        <f>C7+C15+C21+C28+C35+C41+C48+C50+C56+C60+C66+C70+C74+C77+C81+C86+C92+C97+C102+C110</f>
        <v>56544</v>
      </c>
      <c r="D6" s="679">
        <f>D7+D15+D21+D28+D35+D41+D48+D50+D56+D60+D66+D70+D74+D77+D81+D86+D92+D97+D102+D110</f>
        <v>70082</v>
      </c>
      <c r="E6" s="679">
        <f>E7+E15+E21+E28+E35+E41+E48+E50+E56+E60+E66+E70+E74+E77+E81+E86+E92+E97+E102+E110</f>
        <v>70082</v>
      </c>
      <c r="F6" s="680">
        <f>E6/D6*100</f>
        <v>100</v>
      </c>
      <c r="G6" s="680">
        <f>(E6/B6-1)*100</f>
        <v>10.5935078666225</v>
      </c>
      <c r="H6" s="681"/>
      <c r="I6" s="697"/>
      <c r="J6" s="697"/>
      <c r="K6" s="698"/>
      <c r="L6" s="697"/>
    </row>
    <row r="7" ht="21" customHeight="1" spans="1:8">
      <c r="A7" s="682" t="s">
        <v>90</v>
      </c>
      <c r="B7" s="683">
        <f>SUM(B8:B14)</f>
        <v>1707</v>
      </c>
      <c r="C7" s="684">
        <f>SUM(C8:C13)</f>
        <v>1406</v>
      </c>
      <c r="D7" s="685">
        <f>SUM(D8:D14)</f>
        <v>1907</v>
      </c>
      <c r="E7" s="685">
        <f>SUM(E8:E14)</f>
        <v>1907</v>
      </c>
      <c r="F7" s="686"/>
      <c r="G7" s="686"/>
      <c r="H7" s="687"/>
    </row>
    <row r="8" ht="21" customHeight="1" spans="1:12">
      <c r="A8" s="688" t="s">
        <v>91</v>
      </c>
      <c r="B8" s="689">
        <v>876</v>
      </c>
      <c r="C8" s="140">
        <v>793</v>
      </c>
      <c r="D8" s="690">
        <v>848</v>
      </c>
      <c r="E8" s="690">
        <v>848</v>
      </c>
      <c r="F8" s="691"/>
      <c r="G8" s="691"/>
      <c r="H8" s="687"/>
      <c r="I8" s="653" t="s">
        <v>92</v>
      </c>
      <c r="J8" s="653" t="s">
        <v>91</v>
      </c>
      <c r="K8" s="654">
        <v>848</v>
      </c>
      <c r="L8" s="653">
        <f t="shared" ref="L8:L27" si="0">ROUND(K8,0)</f>
        <v>848</v>
      </c>
    </row>
    <row r="9" ht="21" customHeight="1" spans="1:12">
      <c r="A9" s="688" t="s">
        <v>93</v>
      </c>
      <c r="B9" s="689">
        <v>385</v>
      </c>
      <c r="C9" s="140">
        <v>210</v>
      </c>
      <c r="D9" s="692">
        <v>594</v>
      </c>
      <c r="E9" s="692">
        <v>594</v>
      </c>
      <c r="F9" s="691"/>
      <c r="G9" s="691"/>
      <c r="H9" s="687"/>
      <c r="I9" s="642" t="s">
        <v>94</v>
      </c>
      <c r="J9" s="642" t="s">
        <v>93</v>
      </c>
      <c r="K9" s="699">
        <v>594</v>
      </c>
      <c r="L9" s="653">
        <f t="shared" si="0"/>
        <v>594</v>
      </c>
    </row>
    <row r="10" ht="21" customHeight="1" spans="1:12">
      <c r="A10" s="688" t="s">
        <v>95</v>
      </c>
      <c r="B10" s="689">
        <v>229</v>
      </c>
      <c r="C10" s="693">
        <v>185</v>
      </c>
      <c r="D10" s="692">
        <v>185</v>
      </c>
      <c r="E10" s="692">
        <v>185</v>
      </c>
      <c r="F10" s="691"/>
      <c r="G10" s="691"/>
      <c r="H10" s="687"/>
      <c r="I10" s="642" t="s">
        <v>96</v>
      </c>
      <c r="J10" s="642" t="s">
        <v>95</v>
      </c>
      <c r="K10" s="699">
        <v>185</v>
      </c>
      <c r="L10" s="653">
        <f t="shared" si="0"/>
        <v>185</v>
      </c>
    </row>
    <row r="11" ht="21" customHeight="1" spans="1:12">
      <c r="A11" s="688" t="s">
        <v>97</v>
      </c>
      <c r="B11" s="689">
        <v>83</v>
      </c>
      <c r="C11" s="140">
        <v>90</v>
      </c>
      <c r="D11" s="692">
        <v>90</v>
      </c>
      <c r="E11" s="692">
        <v>90</v>
      </c>
      <c r="F11" s="691"/>
      <c r="G11" s="691"/>
      <c r="H11" s="687"/>
      <c r="I11" s="643" t="s">
        <v>98</v>
      </c>
      <c r="J11" s="643" t="s">
        <v>97</v>
      </c>
      <c r="K11" s="700">
        <v>90</v>
      </c>
      <c r="L11" s="653">
        <f t="shared" si="0"/>
        <v>90</v>
      </c>
    </row>
    <row r="12" ht="21" customHeight="1" spans="1:12">
      <c r="A12" s="688" t="s">
        <v>99</v>
      </c>
      <c r="B12" s="689">
        <v>2</v>
      </c>
      <c r="C12" s="140">
        <v>20</v>
      </c>
      <c r="D12" s="692">
        <v>20</v>
      </c>
      <c r="E12" s="692">
        <v>20</v>
      </c>
      <c r="F12" s="691"/>
      <c r="G12" s="691"/>
      <c r="H12" s="687"/>
      <c r="I12" s="643" t="s">
        <v>100</v>
      </c>
      <c r="J12" s="643" t="s">
        <v>99</v>
      </c>
      <c r="K12" s="700">
        <v>20</v>
      </c>
      <c r="L12" s="653">
        <f t="shared" si="0"/>
        <v>20</v>
      </c>
    </row>
    <row r="13" ht="21" customHeight="1" spans="1:12">
      <c r="A13" s="688" t="s">
        <v>101</v>
      </c>
      <c r="B13" s="689">
        <v>86</v>
      </c>
      <c r="C13" s="140">
        <v>108</v>
      </c>
      <c r="D13" s="692">
        <v>116</v>
      </c>
      <c r="E13" s="692">
        <v>116</v>
      </c>
      <c r="F13" s="691"/>
      <c r="G13" s="691"/>
      <c r="H13" s="687"/>
      <c r="I13" s="653" t="s">
        <v>102</v>
      </c>
      <c r="J13" s="653" t="s">
        <v>101</v>
      </c>
      <c r="K13" s="654">
        <v>116</v>
      </c>
      <c r="L13" s="653">
        <f t="shared" si="0"/>
        <v>116</v>
      </c>
    </row>
    <row r="14" ht="21" customHeight="1" spans="1:12">
      <c r="A14" s="688" t="s">
        <v>103</v>
      </c>
      <c r="B14" s="689">
        <v>46</v>
      </c>
      <c r="C14" s="140"/>
      <c r="D14" s="692">
        <v>54</v>
      </c>
      <c r="E14" s="692">
        <v>54</v>
      </c>
      <c r="F14" s="691"/>
      <c r="G14" s="691"/>
      <c r="H14" s="687"/>
      <c r="I14" s="653" t="s">
        <v>104</v>
      </c>
      <c r="J14" s="653" t="s">
        <v>103</v>
      </c>
      <c r="K14" s="654">
        <v>54</v>
      </c>
      <c r="L14" s="653">
        <f t="shared" si="0"/>
        <v>54</v>
      </c>
    </row>
    <row r="15" ht="21" customHeight="1" spans="1:12">
      <c r="A15" s="682" t="s">
        <v>105</v>
      </c>
      <c r="B15" s="683">
        <f>SUM(B16:B20)</f>
        <v>1279</v>
      </c>
      <c r="C15" s="684">
        <f>SUM(C16:C20)</f>
        <v>935</v>
      </c>
      <c r="D15" s="685">
        <f>SUM(D16:D20)</f>
        <v>1334</v>
      </c>
      <c r="E15" s="685">
        <f>SUM(E16:E20)</f>
        <v>1334</v>
      </c>
      <c r="F15" s="691"/>
      <c r="G15" s="691"/>
      <c r="H15" s="687"/>
      <c r="K15" s="654">
        <v>0</v>
      </c>
      <c r="L15" s="653">
        <f t="shared" si="0"/>
        <v>0</v>
      </c>
    </row>
    <row r="16" ht="21" customHeight="1" spans="1:12">
      <c r="A16" s="688" t="s">
        <v>91</v>
      </c>
      <c r="B16" s="689">
        <v>600</v>
      </c>
      <c r="C16" s="140">
        <v>520</v>
      </c>
      <c r="D16" s="692">
        <v>592</v>
      </c>
      <c r="E16" s="692">
        <v>592</v>
      </c>
      <c r="F16" s="686"/>
      <c r="G16" s="686"/>
      <c r="H16" s="687"/>
      <c r="I16" s="653" t="s">
        <v>106</v>
      </c>
      <c r="J16" s="653" t="s">
        <v>91</v>
      </c>
      <c r="K16" s="654">
        <v>592</v>
      </c>
      <c r="L16" s="653">
        <f t="shared" si="0"/>
        <v>592</v>
      </c>
    </row>
    <row r="17" ht="21" customHeight="1" spans="1:12">
      <c r="A17" s="688" t="s">
        <v>93</v>
      </c>
      <c r="B17" s="689">
        <v>356</v>
      </c>
      <c r="C17" s="140">
        <v>65</v>
      </c>
      <c r="D17" s="692">
        <v>405</v>
      </c>
      <c r="E17" s="692">
        <v>405</v>
      </c>
      <c r="F17" s="691"/>
      <c r="G17" s="691"/>
      <c r="H17" s="687"/>
      <c r="I17" s="653" t="s">
        <v>107</v>
      </c>
      <c r="J17" s="653" t="s">
        <v>93</v>
      </c>
      <c r="K17" s="654">
        <v>405</v>
      </c>
      <c r="L17" s="653">
        <f t="shared" si="0"/>
        <v>405</v>
      </c>
    </row>
    <row r="18" ht="21" customHeight="1" spans="1:12">
      <c r="A18" s="688" t="s">
        <v>108</v>
      </c>
      <c r="B18" s="689">
        <v>142</v>
      </c>
      <c r="C18" s="140">
        <v>148</v>
      </c>
      <c r="D18" s="692">
        <v>148</v>
      </c>
      <c r="E18" s="692">
        <v>148</v>
      </c>
      <c r="F18" s="691"/>
      <c r="G18" s="691"/>
      <c r="H18" s="687"/>
      <c r="I18" s="653" t="s">
        <v>109</v>
      </c>
      <c r="J18" s="653" t="s">
        <v>108</v>
      </c>
      <c r="K18" s="654">
        <v>148</v>
      </c>
      <c r="L18" s="653">
        <f t="shared" si="0"/>
        <v>148</v>
      </c>
    </row>
    <row r="19" ht="21" customHeight="1" spans="1:12">
      <c r="A19" s="688" t="s">
        <v>110</v>
      </c>
      <c r="B19" s="689">
        <v>103</v>
      </c>
      <c r="C19" s="140">
        <v>108</v>
      </c>
      <c r="D19" s="692">
        <v>108</v>
      </c>
      <c r="E19" s="692">
        <v>108</v>
      </c>
      <c r="F19" s="691"/>
      <c r="G19" s="691"/>
      <c r="H19" s="687"/>
      <c r="I19" s="653" t="s">
        <v>111</v>
      </c>
      <c r="J19" s="653" t="s">
        <v>110</v>
      </c>
      <c r="K19" s="654">
        <v>108</v>
      </c>
      <c r="L19" s="653">
        <f t="shared" si="0"/>
        <v>108</v>
      </c>
    </row>
    <row r="20" ht="21" customHeight="1" spans="1:12">
      <c r="A20" s="688" t="s">
        <v>101</v>
      </c>
      <c r="B20" s="689">
        <v>78</v>
      </c>
      <c r="C20" s="140">
        <v>94</v>
      </c>
      <c r="D20" s="692">
        <v>81</v>
      </c>
      <c r="E20" s="692">
        <v>81</v>
      </c>
      <c r="F20" s="691"/>
      <c r="G20" s="691"/>
      <c r="H20" s="687"/>
      <c r="I20" s="653" t="s">
        <v>112</v>
      </c>
      <c r="J20" s="653" t="s">
        <v>101</v>
      </c>
      <c r="K20" s="654">
        <v>81</v>
      </c>
      <c r="L20" s="653">
        <f t="shared" si="0"/>
        <v>81</v>
      </c>
    </row>
    <row r="21" ht="21" customHeight="1" spans="1:12">
      <c r="A21" s="694" t="s">
        <v>113</v>
      </c>
      <c r="B21" s="683">
        <f>SUM(B22:B27)</f>
        <v>13114</v>
      </c>
      <c r="C21" s="684">
        <f>SUM(C22:C27)</f>
        <v>20946</v>
      </c>
      <c r="D21" s="685">
        <f>SUM(D22:D27)</f>
        <v>23151</v>
      </c>
      <c r="E21" s="685">
        <f>SUM(E22:E27)</f>
        <v>23151</v>
      </c>
      <c r="F21" s="691"/>
      <c r="G21" s="691"/>
      <c r="H21" s="687"/>
      <c r="K21" s="654">
        <v>0</v>
      </c>
      <c r="L21" s="653">
        <f t="shared" si="0"/>
        <v>0</v>
      </c>
    </row>
    <row r="22" ht="21" customHeight="1" spans="1:12">
      <c r="A22" s="688" t="s">
        <v>91</v>
      </c>
      <c r="B22" s="689">
        <v>6596</v>
      </c>
      <c r="C22" s="140">
        <v>17676</v>
      </c>
      <c r="D22" s="692">
        <v>19038</v>
      </c>
      <c r="E22" s="692">
        <v>19038</v>
      </c>
      <c r="F22" s="686"/>
      <c r="G22" s="686"/>
      <c r="H22" s="687"/>
      <c r="I22" s="653" t="s">
        <v>114</v>
      </c>
      <c r="J22" s="653" t="s">
        <v>91</v>
      </c>
      <c r="K22" s="654">
        <v>19038</v>
      </c>
      <c r="L22" s="653">
        <f t="shared" si="0"/>
        <v>19038</v>
      </c>
    </row>
    <row r="23" ht="21" customHeight="1" spans="1:12">
      <c r="A23" s="688" t="s">
        <v>93</v>
      </c>
      <c r="B23" s="689">
        <v>1298</v>
      </c>
      <c r="C23" s="140">
        <v>1396</v>
      </c>
      <c r="D23" s="692">
        <v>1780</v>
      </c>
      <c r="E23" s="692">
        <v>1780</v>
      </c>
      <c r="F23" s="691"/>
      <c r="G23" s="691"/>
      <c r="H23" s="687"/>
      <c r="I23" s="653" t="s">
        <v>115</v>
      </c>
      <c r="J23" s="653" t="s">
        <v>93</v>
      </c>
      <c r="K23" s="654">
        <v>1780</v>
      </c>
      <c r="L23" s="653">
        <f t="shared" si="0"/>
        <v>1780</v>
      </c>
    </row>
    <row r="24" ht="21" customHeight="1" spans="1:12">
      <c r="A24" s="688" t="s">
        <v>116</v>
      </c>
      <c r="B24" s="689"/>
      <c r="C24" s="140"/>
      <c r="D24" s="692">
        <v>198</v>
      </c>
      <c r="E24" s="692">
        <v>198</v>
      </c>
      <c r="F24" s="691"/>
      <c r="G24" s="691"/>
      <c r="H24" s="687"/>
      <c r="I24" s="653" t="s">
        <v>117</v>
      </c>
      <c r="J24" s="653" t="s">
        <v>116</v>
      </c>
      <c r="K24" s="654">
        <v>198</v>
      </c>
      <c r="L24" s="653">
        <f t="shared" si="0"/>
        <v>198</v>
      </c>
    </row>
    <row r="25" ht="21" customHeight="1" spans="1:12">
      <c r="A25" s="688" t="s">
        <v>118</v>
      </c>
      <c r="B25" s="689">
        <v>95</v>
      </c>
      <c r="C25" s="140">
        <v>55</v>
      </c>
      <c r="D25" s="692">
        <v>216</v>
      </c>
      <c r="E25" s="692">
        <v>216</v>
      </c>
      <c r="F25" s="691"/>
      <c r="G25" s="691"/>
      <c r="H25" s="687"/>
      <c r="I25" s="653" t="s">
        <v>119</v>
      </c>
      <c r="J25" s="653" t="s">
        <v>118</v>
      </c>
      <c r="K25" s="654">
        <v>216</v>
      </c>
      <c r="L25" s="653">
        <f t="shared" si="0"/>
        <v>216</v>
      </c>
    </row>
    <row r="26" ht="21" customHeight="1" spans="1:12">
      <c r="A26" s="688" t="s">
        <v>101</v>
      </c>
      <c r="B26" s="689">
        <v>4038</v>
      </c>
      <c r="C26" s="140">
        <v>581</v>
      </c>
      <c r="D26" s="692">
        <v>681</v>
      </c>
      <c r="E26" s="692">
        <v>681</v>
      </c>
      <c r="F26" s="691"/>
      <c r="G26" s="691"/>
      <c r="H26" s="687"/>
      <c r="I26" s="653" t="s">
        <v>120</v>
      </c>
      <c r="J26" s="653" t="s">
        <v>101</v>
      </c>
      <c r="K26" s="654">
        <v>681</v>
      </c>
      <c r="L26" s="653">
        <f t="shared" si="0"/>
        <v>681</v>
      </c>
    </row>
    <row r="27" ht="21" customHeight="1" spans="1:12">
      <c r="A27" s="695" t="s">
        <v>121</v>
      </c>
      <c r="B27" s="689">
        <v>1087</v>
      </c>
      <c r="C27" s="140">
        <v>1238</v>
      </c>
      <c r="D27" s="692">
        <v>1238</v>
      </c>
      <c r="E27" s="692">
        <v>1238</v>
      </c>
      <c r="F27" s="691"/>
      <c r="G27" s="691"/>
      <c r="H27" s="687"/>
      <c r="I27" s="653" t="s">
        <v>122</v>
      </c>
      <c r="J27" s="653" t="s">
        <v>123</v>
      </c>
      <c r="K27" s="654">
        <v>1238</v>
      </c>
      <c r="L27" s="653">
        <f t="shared" si="0"/>
        <v>1238</v>
      </c>
    </row>
    <row r="28" ht="21" customHeight="1" spans="1:8">
      <c r="A28" s="682" t="s">
        <v>124</v>
      </c>
      <c r="B28" s="683">
        <f>SUM(B29:B34)</f>
        <v>2244</v>
      </c>
      <c r="C28" s="684">
        <f>SUM(C29:C34)</f>
        <v>1252</v>
      </c>
      <c r="D28" s="685">
        <f>SUM(D29:D34)</f>
        <v>2180</v>
      </c>
      <c r="E28" s="685">
        <f>SUM(E29:E34)</f>
        <v>2180</v>
      </c>
      <c r="F28" s="691"/>
      <c r="G28" s="691"/>
      <c r="H28" s="687"/>
    </row>
    <row r="29" ht="21" customHeight="1" spans="1:12">
      <c r="A29" s="688" t="s">
        <v>91</v>
      </c>
      <c r="B29" s="689">
        <v>342</v>
      </c>
      <c r="C29" s="140">
        <v>340</v>
      </c>
      <c r="D29" s="692">
        <v>375</v>
      </c>
      <c r="E29" s="692">
        <v>375</v>
      </c>
      <c r="F29" s="686"/>
      <c r="G29" s="686"/>
      <c r="H29" s="687"/>
      <c r="I29" s="653" t="s">
        <v>125</v>
      </c>
      <c r="J29" s="653" t="s">
        <v>91</v>
      </c>
      <c r="K29" s="654">
        <v>375</v>
      </c>
      <c r="L29" s="653">
        <f t="shared" ref="L29:L34" si="1">ROUND(K29,0)</f>
        <v>375</v>
      </c>
    </row>
    <row r="30" ht="21" customHeight="1" spans="1:12">
      <c r="A30" s="688" t="s">
        <v>93</v>
      </c>
      <c r="B30" s="689">
        <v>256</v>
      </c>
      <c r="C30" s="140">
        <v>340</v>
      </c>
      <c r="D30" s="692">
        <v>350</v>
      </c>
      <c r="E30" s="692">
        <v>350</v>
      </c>
      <c r="F30" s="691"/>
      <c r="G30" s="691"/>
      <c r="H30" s="687"/>
      <c r="I30" s="653" t="s">
        <v>126</v>
      </c>
      <c r="J30" s="653" t="s">
        <v>93</v>
      </c>
      <c r="K30" s="654">
        <v>350</v>
      </c>
      <c r="L30" s="653">
        <f t="shared" si="1"/>
        <v>350</v>
      </c>
    </row>
    <row r="31" ht="21" customHeight="1" spans="1:12">
      <c r="A31" s="688" t="s">
        <v>127</v>
      </c>
      <c r="B31" s="689"/>
      <c r="D31" s="692">
        <v>73</v>
      </c>
      <c r="E31" s="692">
        <v>73</v>
      </c>
      <c r="F31" s="691"/>
      <c r="G31" s="691"/>
      <c r="H31" s="687"/>
      <c r="I31" s="653" t="s">
        <v>128</v>
      </c>
      <c r="J31" s="653" t="s">
        <v>127</v>
      </c>
      <c r="K31" s="654">
        <v>73</v>
      </c>
      <c r="L31" s="653">
        <f t="shared" si="1"/>
        <v>73</v>
      </c>
    </row>
    <row r="32" ht="21" customHeight="1" spans="1:12">
      <c r="A32" s="688" t="s">
        <v>129</v>
      </c>
      <c r="B32" s="689">
        <v>1169</v>
      </c>
      <c r="C32" s="693"/>
      <c r="D32" s="692">
        <v>693</v>
      </c>
      <c r="E32" s="692">
        <v>693</v>
      </c>
      <c r="F32" s="691"/>
      <c r="G32" s="691"/>
      <c r="H32" s="687"/>
      <c r="I32" s="653" t="s">
        <v>130</v>
      </c>
      <c r="J32" s="653" t="s">
        <v>129</v>
      </c>
      <c r="K32" s="654">
        <v>693</v>
      </c>
      <c r="L32" s="653">
        <f t="shared" si="1"/>
        <v>693</v>
      </c>
    </row>
    <row r="33" ht="21" customHeight="1" spans="1:12">
      <c r="A33" s="688" t="s">
        <v>101</v>
      </c>
      <c r="B33" s="689">
        <v>419</v>
      </c>
      <c r="C33" s="140">
        <v>572</v>
      </c>
      <c r="D33" s="692">
        <v>606</v>
      </c>
      <c r="E33" s="692">
        <v>606</v>
      </c>
      <c r="F33" s="691"/>
      <c r="G33" s="691"/>
      <c r="H33" s="687"/>
      <c r="I33" s="653" t="s">
        <v>131</v>
      </c>
      <c r="J33" s="653" t="s">
        <v>101</v>
      </c>
      <c r="K33" s="654">
        <v>606</v>
      </c>
      <c r="L33" s="653">
        <f t="shared" si="1"/>
        <v>606</v>
      </c>
    </row>
    <row r="34" ht="21" customHeight="1" spans="1:12">
      <c r="A34" s="688" t="s">
        <v>132</v>
      </c>
      <c r="B34" s="689">
        <v>58</v>
      </c>
      <c r="C34" s="693"/>
      <c r="D34" s="692">
        <v>83</v>
      </c>
      <c r="E34" s="692">
        <v>83</v>
      </c>
      <c r="F34" s="691"/>
      <c r="G34" s="691"/>
      <c r="H34" s="687"/>
      <c r="I34" s="653" t="s">
        <v>133</v>
      </c>
      <c r="J34" s="653" t="s">
        <v>132</v>
      </c>
      <c r="K34" s="654">
        <v>83</v>
      </c>
      <c r="L34" s="653">
        <f t="shared" si="1"/>
        <v>83</v>
      </c>
    </row>
    <row r="35" ht="21" customHeight="1" spans="1:8">
      <c r="A35" s="682" t="s">
        <v>134</v>
      </c>
      <c r="B35" s="683">
        <f>SUM(B36:B40)</f>
        <v>842</v>
      </c>
      <c r="C35" s="684">
        <f>SUM(C36:C40)</f>
        <v>893</v>
      </c>
      <c r="D35" s="685">
        <f>SUM(D36:D40)</f>
        <v>1641</v>
      </c>
      <c r="E35" s="685">
        <f>SUM(E36:E40)</f>
        <v>1641</v>
      </c>
      <c r="F35" s="691"/>
      <c r="G35" s="691"/>
      <c r="H35" s="687"/>
    </row>
    <row r="36" ht="21" customHeight="1" spans="1:12">
      <c r="A36" s="688" t="s">
        <v>91</v>
      </c>
      <c r="B36" s="689">
        <v>446</v>
      </c>
      <c r="C36" s="140">
        <v>390</v>
      </c>
      <c r="D36" s="692">
        <v>450</v>
      </c>
      <c r="E36" s="692">
        <v>450</v>
      </c>
      <c r="F36" s="686"/>
      <c r="G36" s="686"/>
      <c r="H36" s="687"/>
      <c r="I36" s="653" t="s">
        <v>135</v>
      </c>
      <c r="J36" s="653" t="s">
        <v>91</v>
      </c>
      <c r="K36" s="654">
        <v>450</v>
      </c>
      <c r="L36" s="653">
        <f>ROUND(K36,0)</f>
        <v>450</v>
      </c>
    </row>
    <row r="37" ht="21" customHeight="1" spans="1:12">
      <c r="A37" s="688" t="s">
        <v>93</v>
      </c>
      <c r="B37" s="689">
        <v>122</v>
      </c>
      <c r="C37" s="140">
        <v>193</v>
      </c>
      <c r="D37" s="692">
        <v>217</v>
      </c>
      <c r="E37" s="692">
        <v>217</v>
      </c>
      <c r="F37" s="691"/>
      <c r="G37" s="691"/>
      <c r="H37" s="687"/>
      <c r="I37" s="653" t="s">
        <v>136</v>
      </c>
      <c r="J37" s="653" t="s">
        <v>93</v>
      </c>
      <c r="K37" s="654">
        <v>217</v>
      </c>
      <c r="L37" s="653">
        <f>ROUND(K37,0)</f>
        <v>217</v>
      </c>
    </row>
    <row r="38" ht="21" customHeight="1" spans="1:12">
      <c r="A38" s="688" t="s">
        <v>137</v>
      </c>
      <c r="B38" s="689">
        <v>6</v>
      </c>
      <c r="C38" s="140"/>
      <c r="D38" s="692">
        <v>608</v>
      </c>
      <c r="E38" s="692">
        <v>608</v>
      </c>
      <c r="F38" s="691"/>
      <c r="G38" s="691"/>
      <c r="H38" s="687"/>
      <c r="I38" s="653" t="s">
        <v>138</v>
      </c>
      <c r="J38" s="653" t="s">
        <v>137</v>
      </c>
      <c r="K38" s="654">
        <v>608</v>
      </c>
      <c r="L38" s="653">
        <f>ROUND(K38,0)</f>
        <v>608</v>
      </c>
    </row>
    <row r="39" ht="21" customHeight="1" spans="1:8">
      <c r="A39" s="688" t="s">
        <v>139</v>
      </c>
      <c r="B39" s="689">
        <v>22</v>
      </c>
      <c r="C39" s="693"/>
      <c r="D39" s="692"/>
      <c r="E39" s="692"/>
      <c r="F39" s="691"/>
      <c r="G39" s="691"/>
      <c r="H39" s="687"/>
    </row>
    <row r="40" ht="21" customHeight="1" spans="1:12">
      <c r="A40" s="688" t="s">
        <v>101</v>
      </c>
      <c r="B40" s="689">
        <v>246</v>
      </c>
      <c r="C40" s="693">
        <v>310</v>
      </c>
      <c r="D40" s="692">
        <v>366</v>
      </c>
      <c r="E40" s="692">
        <v>366</v>
      </c>
      <c r="F40" s="691"/>
      <c r="G40" s="691"/>
      <c r="H40" s="687"/>
      <c r="I40" s="653" t="s">
        <v>140</v>
      </c>
      <c r="J40" s="653" t="s">
        <v>101</v>
      </c>
      <c r="K40" s="654">
        <v>366</v>
      </c>
      <c r="L40" s="653">
        <f>ROUND(K40,0)</f>
        <v>366</v>
      </c>
    </row>
    <row r="41" ht="21" customHeight="1" spans="1:8">
      <c r="A41" s="682" t="s">
        <v>141</v>
      </c>
      <c r="B41" s="683">
        <f>SUM(B42:B46)</f>
        <v>2977</v>
      </c>
      <c r="C41" s="684">
        <f>SUM(C42:C46)</f>
        <v>2723</v>
      </c>
      <c r="D41" s="685">
        <f>SUM(D42:D47)</f>
        <v>2875</v>
      </c>
      <c r="E41" s="685">
        <f>SUM(E42:E47)</f>
        <v>2875</v>
      </c>
      <c r="F41" s="691"/>
      <c r="G41" s="691"/>
      <c r="H41" s="687"/>
    </row>
    <row r="42" ht="21" customHeight="1" spans="1:12">
      <c r="A42" s="688" t="s">
        <v>91</v>
      </c>
      <c r="B42" s="689">
        <v>975</v>
      </c>
      <c r="C42" s="140">
        <v>983</v>
      </c>
      <c r="D42" s="692">
        <v>1128</v>
      </c>
      <c r="E42" s="692">
        <v>1128</v>
      </c>
      <c r="F42" s="691"/>
      <c r="G42" s="691"/>
      <c r="H42" s="687"/>
      <c r="I42" s="653" t="s">
        <v>142</v>
      </c>
      <c r="J42" s="653" t="s">
        <v>91</v>
      </c>
      <c r="K42" s="654">
        <v>1128</v>
      </c>
      <c r="L42" s="653">
        <f t="shared" ref="L42:L47" si="2">ROUND(K42,0)</f>
        <v>1128</v>
      </c>
    </row>
    <row r="43" ht="21" customHeight="1" spans="1:12">
      <c r="A43" s="688" t="s">
        <v>93</v>
      </c>
      <c r="B43" s="689">
        <v>193</v>
      </c>
      <c r="C43" s="140">
        <v>314</v>
      </c>
      <c r="D43" s="692">
        <v>224</v>
      </c>
      <c r="E43" s="692">
        <v>224</v>
      </c>
      <c r="F43" s="686"/>
      <c r="G43" s="686"/>
      <c r="H43" s="687"/>
      <c r="I43" s="653" t="s">
        <v>143</v>
      </c>
      <c r="J43" s="653" t="s">
        <v>93</v>
      </c>
      <c r="K43" s="654">
        <v>224</v>
      </c>
      <c r="L43" s="653">
        <f t="shared" si="2"/>
        <v>224</v>
      </c>
    </row>
    <row r="44" ht="21" customHeight="1" spans="1:12">
      <c r="A44" s="688" t="s">
        <v>144</v>
      </c>
      <c r="B44" s="689">
        <v>176</v>
      </c>
      <c r="C44" s="140">
        <v>160</v>
      </c>
      <c r="D44" s="692">
        <v>155</v>
      </c>
      <c r="E44" s="692">
        <v>155</v>
      </c>
      <c r="F44" s="691"/>
      <c r="G44" s="691"/>
      <c r="H44" s="687"/>
      <c r="I44" s="653" t="s">
        <v>145</v>
      </c>
      <c r="J44" s="653" t="s">
        <v>144</v>
      </c>
      <c r="K44" s="654">
        <v>155</v>
      </c>
      <c r="L44" s="653">
        <f t="shared" si="2"/>
        <v>155</v>
      </c>
    </row>
    <row r="45" ht="21" customHeight="1" spans="1:12">
      <c r="A45" s="688" t="s">
        <v>146</v>
      </c>
      <c r="B45" s="689">
        <v>65</v>
      </c>
      <c r="C45" s="140">
        <v>65</v>
      </c>
      <c r="D45" s="692">
        <v>65</v>
      </c>
      <c r="E45" s="692">
        <v>65</v>
      </c>
      <c r="F45" s="691"/>
      <c r="G45" s="691"/>
      <c r="H45" s="687"/>
      <c r="I45" s="653" t="s">
        <v>147</v>
      </c>
      <c r="J45" s="653" t="s">
        <v>146</v>
      </c>
      <c r="K45" s="654">
        <v>65</v>
      </c>
      <c r="L45" s="653">
        <f t="shared" si="2"/>
        <v>65</v>
      </c>
    </row>
    <row r="46" ht="21" customHeight="1" spans="1:12">
      <c r="A46" s="688" t="s">
        <v>101</v>
      </c>
      <c r="B46" s="689">
        <v>1568</v>
      </c>
      <c r="C46" s="140">
        <v>1201</v>
      </c>
      <c r="D46" s="692">
        <v>1243</v>
      </c>
      <c r="E46" s="692">
        <v>1243</v>
      </c>
      <c r="F46" s="691"/>
      <c r="G46" s="691"/>
      <c r="H46" s="687"/>
      <c r="I46" s="653" t="s">
        <v>148</v>
      </c>
      <c r="J46" s="653" t="s">
        <v>101</v>
      </c>
      <c r="K46" s="654">
        <v>1243</v>
      </c>
      <c r="L46" s="653">
        <f t="shared" si="2"/>
        <v>1243</v>
      </c>
    </row>
    <row r="47" ht="21" customHeight="1" spans="1:12">
      <c r="A47" s="688" t="s">
        <v>149</v>
      </c>
      <c r="B47" s="689"/>
      <c r="C47" s="140"/>
      <c r="D47" s="692">
        <v>60</v>
      </c>
      <c r="E47" s="692">
        <v>60</v>
      </c>
      <c r="F47" s="691"/>
      <c r="G47" s="691"/>
      <c r="H47" s="687"/>
      <c r="I47" s="653" t="s">
        <v>150</v>
      </c>
      <c r="J47" s="653" t="s">
        <v>149</v>
      </c>
      <c r="K47" s="654">
        <v>60</v>
      </c>
      <c r="L47" s="653">
        <f t="shared" si="2"/>
        <v>60</v>
      </c>
    </row>
    <row r="48" ht="21" customHeight="1" spans="1:8">
      <c r="A48" s="682" t="s">
        <v>151</v>
      </c>
      <c r="B48" s="683">
        <f>SUM(B49:B49)</f>
        <v>2800</v>
      </c>
      <c r="C48" s="684">
        <f>SUM(C49:C49)</f>
        <v>3700</v>
      </c>
      <c r="D48" s="685">
        <f>SUM(D49:D49)</f>
        <v>3200</v>
      </c>
      <c r="E48" s="685">
        <v>3200</v>
      </c>
      <c r="F48" s="691"/>
      <c r="G48" s="691"/>
      <c r="H48" s="687"/>
    </row>
    <row r="49" ht="21" customHeight="1" spans="1:12">
      <c r="A49" s="688" t="s">
        <v>152</v>
      </c>
      <c r="B49" s="696">
        <v>2800</v>
      </c>
      <c r="C49" s="693">
        <v>3700</v>
      </c>
      <c r="D49" s="692">
        <v>3200</v>
      </c>
      <c r="E49" s="692">
        <v>3200</v>
      </c>
      <c r="F49" s="686"/>
      <c r="G49" s="686"/>
      <c r="H49" s="687"/>
      <c r="I49" s="653" t="s">
        <v>153</v>
      </c>
      <c r="J49" s="653" t="s">
        <v>152</v>
      </c>
      <c r="K49" s="654">
        <v>3200</v>
      </c>
      <c r="L49" s="653">
        <f>ROUND(K49,0)</f>
        <v>3200</v>
      </c>
    </row>
    <row r="50" ht="21" customHeight="1" spans="1:8">
      <c r="A50" s="682" t="s">
        <v>154</v>
      </c>
      <c r="B50" s="683">
        <f>SUM(B51:B54)</f>
        <v>743</v>
      </c>
      <c r="C50" s="684">
        <f>SUM(C51:C54)</f>
        <v>867</v>
      </c>
      <c r="D50" s="685">
        <f>SUM(D51:D55)</f>
        <v>976</v>
      </c>
      <c r="E50" s="685">
        <f>SUM(E51:E55)</f>
        <v>976</v>
      </c>
      <c r="F50" s="691"/>
      <c r="G50" s="691"/>
      <c r="H50" s="687"/>
    </row>
    <row r="51" ht="21" customHeight="1" spans="1:12">
      <c r="A51" s="688" t="s">
        <v>91</v>
      </c>
      <c r="B51" s="689">
        <v>440</v>
      </c>
      <c r="C51" s="140">
        <v>422</v>
      </c>
      <c r="D51" s="692">
        <v>470</v>
      </c>
      <c r="E51" s="692">
        <v>470</v>
      </c>
      <c r="F51" s="691"/>
      <c r="G51" s="691"/>
      <c r="H51" s="687"/>
      <c r="I51" s="653" t="s">
        <v>155</v>
      </c>
      <c r="J51" s="653" t="s">
        <v>91</v>
      </c>
      <c r="K51" s="654">
        <v>470</v>
      </c>
      <c r="L51" s="653">
        <f>ROUND(K51,0)</f>
        <v>470</v>
      </c>
    </row>
    <row r="52" ht="21" customHeight="1" spans="1:12">
      <c r="A52" s="688" t="s">
        <v>93</v>
      </c>
      <c r="B52" s="689"/>
      <c r="C52" s="140"/>
      <c r="D52" s="692">
        <v>25</v>
      </c>
      <c r="E52" s="692">
        <v>25</v>
      </c>
      <c r="F52" s="691"/>
      <c r="G52" s="691"/>
      <c r="H52" s="687"/>
      <c r="I52" s="653" t="s">
        <v>156</v>
      </c>
      <c r="J52" s="653" t="s">
        <v>93</v>
      </c>
      <c r="K52" s="654">
        <v>25</v>
      </c>
      <c r="L52" s="653">
        <f>ROUND(K52,0)</f>
        <v>25</v>
      </c>
    </row>
    <row r="53" ht="21" customHeight="1" spans="1:12">
      <c r="A53" s="688" t="s">
        <v>157</v>
      </c>
      <c r="B53" s="689">
        <v>21</v>
      </c>
      <c r="C53" s="140">
        <v>100</v>
      </c>
      <c r="D53" s="692">
        <v>100</v>
      </c>
      <c r="E53" s="692">
        <v>100</v>
      </c>
      <c r="F53" s="691"/>
      <c r="G53" s="691"/>
      <c r="H53" s="687"/>
      <c r="I53" s="653" t="s">
        <v>158</v>
      </c>
      <c r="J53" s="653" t="s">
        <v>157</v>
      </c>
      <c r="K53" s="654">
        <v>100</v>
      </c>
      <c r="L53" s="653">
        <f>ROUND(K53,0)</f>
        <v>100</v>
      </c>
    </row>
    <row r="54" ht="21" customHeight="1" spans="1:12">
      <c r="A54" s="688" t="s">
        <v>101</v>
      </c>
      <c r="B54" s="689">
        <v>282</v>
      </c>
      <c r="C54" s="140">
        <v>345</v>
      </c>
      <c r="D54" s="692">
        <v>377</v>
      </c>
      <c r="E54" s="692">
        <v>377</v>
      </c>
      <c r="F54" s="691"/>
      <c r="G54" s="691"/>
      <c r="H54" s="687"/>
      <c r="I54" s="653" t="s">
        <v>159</v>
      </c>
      <c r="J54" s="653" t="s">
        <v>101</v>
      </c>
      <c r="K54" s="654">
        <v>377</v>
      </c>
      <c r="L54" s="653">
        <f>ROUND(K54,0)</f>
        <v>377</v>
      </c>
    </row>
    <row r="55" ht="21" customHeight="1" spans="1:12">
      <c r="A55" s="688" t="s">
        <v>160</v>
      </c>
      <c r="B55" s="689"/>
      <c r="C55" s="140"/>
      <c r="D55" s="692">
        <v>4</v>
      </c>
      <c r="E55" s="692">
        <v>4</v>
      </c>
      <c r="F55" s="691"/>
      <c r="G55" s="691"/>
      <c r="H55" s="687"/>
      <c r="I55" s="653" t="s">
        <v>161</v>
      </c>
      <c r="J55" s="653" t="s">
        <v>160</v>
      </c>
      <c r="K55" s="654">
        <v>4</v>
      </c>
      <c r="L55" s="653">
        <f>ROUND(K55,0)</f>
        <v>4</v>
      </c>
    </row>
    <row r="56" ht="21" customHeight="1" spans="1:8">
      <c r="A56" s="682" t="s">
        <v>162</v>
      </c>
      <c r="B56" s="683">
        <f>SUM(B57:B59)</f>
        <v>3788</v>
      </c>
      <c r="C56" s="684">
        <f>SUM(C57:C59)</f>
        <v>4182</v>
      </c>
      <c r="D56" s="685">
        <f>SUM(D57:D59)</f>
        <v>4473</v>
      </c>
      <c r="E56" s="685">
        <f>SUM(E57:E59)</f>
        <v>4473</v>
      </c>
      <c r="F56" s="691"/>
      <c r="G56" s="691"/>
      <c r="H56" s="687"/>
    </row>
    <row r="57" ht="21" customHeight="1" spans="1:12">
      <c r="A57" s="688" t="s">
        <v>91</v>
      </c>
      <c r="B57" s="689">
        <v>2436</v>
      </c>
      <c r="C57" s="140">
        <v>2557</v>
      </c>
      <c r="D57" s="692">
        <v>2775</v>
      </c>
      <c r="E57" s="692">
        <v>2775</v>
      </c>
      <c r="F57" s="686"/>
      <c r="G57" s="686"/>
      <c r="H57" s="687"/>
      <c r="I57" s="653" t="s">
        <v>163</v>
      </c>
      <c r="J57" s="653" t="s">
        <v>91</v>
      </c>
      <c r="K57" s="654">
        <v>2775</v>
      </c>
      <c r="L57" s="653">
        <f>ROUND(K57,0)</f>
        <v>2775</v>
      </c>
    </row>
    <row r="58" ht="21" customHeight="1" spans="1:12">
      <c r="A58" s="688" t="s">
        <v>93</v>
      </c>
      <c r="B58" s="689">
        <v>633</v>
      </c>
      <c r="C58" s="140">
        <v>769</v>
      </c>
      <c r="D58" s="692">
        <v>821</v>
      </c>
      <c r="E58" s="692">
        <v>821</v>
      </c>
      <c r="F58" s="686"/>
      <c r="G58" s="686"/>
      <c r="H58" s="687"/>
      <c r="I58" s="653" t="s">
        <v>164</v>
      </c>
      <c r="J58" s="653" t="s">
        <v>93</v>
      </c>
      <c r="K58" s="654">
        <v>821</v>
      </c>
      <c r="L58" s="653">
        <f>ROUND(K58,0)</f>
        <v>821</v>
      </c>
    </row>
    <row r="59" ht="21" customHeight="1" spans="1:12">
      <c r="A59" s="688" t="s">
        <v>101</v>
      </c>
      <c r="B59" s="689">
        <v>719</v>
      </c>
      <c r="C59" s="140">
        <v>856</v>
      </c>
      <c r="D59" s="692">
        <v>877</v>
      </c>
      <c r="E59" s="692">
        <v>877</v>
      </c>
      <c r="F59" s="686"/>
      <c r="G59" s="686"/>
      <c r="H59" s="687"/>
      <c r="I59" s="653" t="s">
        <v>165</v>
      </c>
      <c r="J59" s="653" t="s">
        <v>101</v>
      </c>
      <c r="K59" s="654">
        <v>877</v>
      </c>
      <c r="L59" s="653">
        <f>ROUND(K59,0)</f>
        <v>877</v>
      </c>
    </row>
    <row r="60" ht="21" customHeight="1" spans="1:8">
      <c r="A60" s="682" t="s">
        <v>166</v>
      </c>
      <c r="B60" s="683">
        <f>SUM(B61:B65)</f>
        <v>1065</v>
      </c>
      <c r="C60" s="684">
        <f>SUM(C61:C65)</f>
        <v>705</v>
      </c>
      <c r="D60" s="685">
        <f>SUM(D61:D65)</f>
        <v>1131</v>
      </c>
      <c r="E60" s="685">
        <f>SUM(E61:E65)</f>
        <v>1131</v>
      </c>
      <c r="F60" s="691"/>
      <c r="G60" s="691"/>
      <c r="H60" s="687"/>
    </row>
    <row r="61" ht="21" customHeight="1" spans="1:12">
      <c r="A61" s="688" t="s">
        <v>91</v>
      </c>
      <c r="B61" s="689">
        <v>316</v>
      </c>
      <c r="C61" s="140">
        <v>345</v>
      </c>
      <c r="D61" s="692">
        <v>374</v>
      </c>
      <c r="E61" s="692">
        <v>374</v>
      </c>
      <c r="F61" s="691"/>
      <c r="G61" s="691"/>
      <c r="H61" s="687"/>
      <c r="I61" s="653" t="s">
        <v>167</v>
      </c>
      <c r="J61" s="653" t="s">
        <v>91</v>
      </c>
      <c r="K61" s="654">
        <v>374</v>
      </c>
      <c r="L61" s="653">
        <f>ROUND(K61,0)</f>
        <v>374</v>
      </c>
    </row>
    <row r="62" ht="21" customHeight="1" spans="1:12">
      <c r="A62" s="688" t="s">
        <v>93</v>
      </c>
      <c r="B62" s="689">
        <v>282</v>
      </c>
      <c r="C62" s="140">
        <v>55</v>
      </c>
      <c r="D62" s="692">
        <v>397</v>
      </c>
      <c r="E62" s="692">
        <v>397</v>
      </c>
      <c r="F62" s="691"/>
      <c r="G62" s="691"/>
      <c r="H62" s="687"/>
      <c r="I62" s="653" t="s">
        <v>168</v>
      </c>
      <c r="J62" s="653" t="s">
        <v>93</v>
      </c>
      <c r="K62" s="654">
        <v>397</v>
      </c>
      <c r="L62" s="653">
        <f>ROUND(K62,0)</f>
        <v>397</v>
      </c>
    </row>
    <row r="63" s="644" customFormat="1" ht="21" customHeight="1" spans="1:125">
      <c r="A63" s="688" t="s">
        <v>169</v>
      </c>
      <c r="B63" s="689"/>
      <c r="C63" s="140"/>
      <c r="D63" s="692">
        <v>15</v>
      </c>
      <c r="E63" s="692">
        <v>15</v>
      </c>
      <c r="F63" s="691"/>
      <c r="G63" s="691"/>
      <c r="H63" s="687"/>
      <c r="I63" s="653" t="s">
        <v>170</v>
      </c>
      <c r="J63" s="653" t="s">
        <v>169</v>
      </c>
      <c r="K63" s="654">
        <v>15</v>
      </c>
      <c r="L63" s="653">
        <f>ROUND(K63,0)</f>
        <v>15</v>
      </c>
      <c r="M63" s="645"/>
      <c r="N63" s="645"/>
      <c r="O63" s="645"/>
      <c r="P63" s="645"/>
      <c r="Q63" s="645"/>
      <c r="R63" s="645"/>
      <c r="S63" s="645"/>
      <c r="T63" s="645"/>
      <c r="U63" s="645"/>
      <c r="V63" s="645"/>
      <c r="W63" s="645"/>
      <c r="X63" s="645"/>
      <c r="Y63" s="645"/>
      <c r="Z63" s="645"/>
      <c r="AA63" s="645"/>
      <c r="AB63" s="645"/>
      <c r="AC63" s="645"/>
      <c r="AD63" s="645"/>
      <c r="AE63" s="645"/>
      <c r="AF63" s="645"/>
      <c r="AG63" s="645"/>
      <c r="AH63" s="645"/>
      <c r="AI63" s="645"/>
      <c r="AJ63" s="645"/>
      <c r="AK63" s="645"/>
      <c r="AL63" s="645"/>
      <c r="AM63" s="645"/>
      <c r="AN63" s="645"/>
      <c r="AO63" s="645"/>
      <c r="AP63" s="645"/>
      <c r="AQ63" s="645"/>
      <c r="AR63" s="645"/>
      <c r="AS63" s="645"/>
      <c r="AT63" s="645"/>
      <c r="AU63" s="645"/>
      <c r="AV63" s="645"/>
      <c r="AW63" s="645"/>
      <c r="AX63" s="645"/>
      <c r="AY63" s="645"/>
      <c r="AZ63" s="645"/>
      <c r="BA63" s="645"/>
      <c r="BB63" s="645"/>
      <c r="BC63" s="645"/>
      <c r="BD63" s="645"/>
      <c r="BE63" s="645"/>
      <c r="BF63" s="645"/>
      <c r="BG63" s="645"/>
      <c r="BH63" s="645"/>
      <c r="BI63" s="645"/>
      <c r="BJ63" s="645"/>
      <c r="BK63" s="645"/>
      <c r="BL63" s="645"/>
      <c r="BM63" s="645"/>
      <c r="BN63" s="645"/>
      <c r="BO63" s="645"/>
      <c r="BP63" s="645"/>
      <c r="BQ63" s="645"/>
      <c r="BR63" s="645"/>
      <c r="BS63" s="645"/>
      <c r="BT63" s="645"/>
      <c r="BU63" s="645"/>
      <c r="BV63" s="645"/>
      <c r="BW63" s="645"/>
      <c r="BX63" s="645"/>
      <c r="BY63" s="645"/>
      <c r="BZ63" s="645"/>
      <c r="CA63" s="645"/>
      <c r="CB63" s="645"/>
      <c r="CC63" s="645"/>
      <c r="CD63" s="645"/>
      <c r="CE63" s="645"/>
      <c r="CF63" s="645"/>
      <c r="CG63" s="645"/>
      <c r="CH63" s="645"/>
      <c r="CI63" s="645"/>
      <c r="CJ63" s="645"/>
      <c r="CK63" s="645"/>
      <c r="CL63" s="645"/>
      <c r="CM63" s="645"/>
      <c r="CN63" s="645"/>
      <c r="CO63" s="645"/>
      <c r="CP63" s="645"/>
      <c r="CQ63" s="645"/>
      <c r="CR63" s="645"/>
      <c r="CS63" s="645"/>
      <c r="CT63" s="645"/>
      <c r="CU63" s="645"/>
      <c r="CV63" s="645"/>
      <c r="CW63" s="645"/>
      <c r="CX63" s="645"/>
      <c r="CY63" s="645"/>
      <c r="CZ63" s="645"/>
      <c r="DA63" s="645"/>
      <c r="DB63" s="645"/>
      <c r="DC63" s="645"/>
      <c r="DD63" s="645"/>
      <c r="DE63" s="645"/>
      <c r="DF63" s="645"/>
      <c r="DG63" s="645"/>
      <c r="DH63" s="645"/>
      <c r="DI63" s="645"/>
      <c r="DJ63" s="645"/>
      <c r="DK63" s="645"/>
      <c r="DL63" s="645"/>
      <c r="DM63" s="645"/>
      <c r="DN63" s="645"/>
      <c r="DO63" s="645"/>
      <c r="DP63" s="645"/>
      <c r="DQ63" s="645"/>
      <c r="DR63" s="645"/>
      <c r="DS63" s="645"/>
      <c r="DT63" s="645"/>
      <c r="DU63" s="645"/>
    </row>
    <row r="64" ht="21" customHeight="1" spans="1:12">
      <c r="A64" s="688" t="s">
        <v>101</v>
      </c>
      <c r="B64" s="689">
        <v>217</v>
      </c>
      <c r="C64" s="140">
        <v>283</v>
      </c>
      <c r="D64" s="692">
        <v>317</v>
      </c>
      <c r="E64" s="692">
        <v>317</v>
      </c>
      <c r="F64" s="691"/>
      <c r="G64" s="691"/>
      <c r="H64" s="687"/>
      <c r="I64" s="653" t="s">
        <v>171</v>
      </c>
      <c r="J64" s="653" t="s">
        <v>101</v>
      </c>
      <c r="K64" s="654">
        <v>317</v>
      </c>
      <c r="L64" s="653">
        <f>ROUND(K64,0)</f>
        <v>317</v>
      </c>
    </row>
    <row r="65" ht="21" customHeight="1" spans="1:12">
      <c r="A65" s="688" t="s">
        <v>172</v>
      </c>
      <c r="B65" s="689">
        <v>250</v>
      </c>
      <c r="C65" s="140">
        <v>22</v>
      </c>
      <c r="D65" s="692">
        <v>28</v>
      </c>
      <c r="E65" s="692">
        <v>28</v>
      </c>
      <c r="F65" s="691"/>
      <c r="G65" s="691"/>
      <c r="H65" s="687"/>
      <c r="I65" s="653" t="s">
        <v>173</v>
      </c>
      <c r="J65" s="653" t="s">
        <v>172</v>
      </c>
      <c r="K65" s="654">
        <v>28</v>
      </c>
      <c r="L65" s="653">
        <f>ROUND(K65,0)</f>
        <v>28</v>
      </c>
    </row>
    <row r="66" ht="21" customHeight="1" spans="1:8">
      <c r="A66" s="682" t="s">
        <v>174</v>
      </c>
      <c r="B66" s="683">
        <f>SUM(B67:B69)</f>
        <v>264</v>
      </c>
      <c r="C66" s="684">
        <f>SUM(C67:C69)</f>
        <v>298</v>
      </c>
      <c r="D66" s="685">
        <f>SUM(D67:D69)</f>
        <v>209</v>
      </c>
      <c r="E66" s="685">
        <f>SUM(E67:E69)</f>
        <v>209</v>
      </c>
      <c r="F66" s="691"/>
      <c r="G66" s="691"/>
      <c r="H66" s="687"/>
    </row>
    <row r="67" ht="21" customHeight="1" spans="1:12">
      <c r="A67" s="688" t="s">
        <v>93</v>
      </c>
      <c r="B67" s="689">
        <v>212</v>
      </c>
      <c r="C67" s="140">
        <v>211</v>
      </c>
      <c r="D67" s="692">
        <v>3</v>
      </c>
      <c r="E67" s="692">
        <v>3</v>
      </c>
      <c r="F67" s="691"/>
      <c r="G67" s="691"/>
      <c r="H67" s="687"/>
      <c r="I67" s="653" t="s">
        <v>175</v>
      </c>
      <c r="J67" s="653" t="s">
        <v>93</v>
      </c>
      <c r="K67" s="654">
        <v>3</v>
      </c>
      <c r="L67" s="653">
        <f>ROUND(K67,0)</f>
        <v>3</v>
      </c>
    </row>
    <row r="68" ht="21" customHeight="1" spans="1:12">
      <c r="A68" s="688" t="s">
        <v>176</v>
      </c>
      <c r="B68" s="689">
        <v>18</v>
      </c>
      <c r="C68" s="140">
        <v>35</v>
      </c>
      <c r="D68" s="692">
        <v>152</v>
      </c>
      <c r="E68" s="692">
        <v>152</v>
      </c>
      <c r="F68" s="691"/>
      <c r="G68" s="691"/>
      <c r="H68" s="687"/>
      <c r="I68" s="653" t="s">
        <v>177</v>
      </c>
      <c r="J68" s="653" t="s">
        <v>176</v>
      </c>
      <c r="K68" s="654">
        <v>152</v>
      </c>
      <c r="L68" s="653">
        <f>ROUND(K68,0)</f>
        <v>152</v>
      </c>
    </row>
    <row r="69" ht="21" customHeight="1" spans="1:12">
      <c r="A69" s="688" t="s">
        <v>101</v>
      </c>
      <c r="B69" s="689">
        <v>34</v>
      </c>
      <c r="C69" s="140">
        <v>52</v>
      </c>
      <c r="D69" s="692">
        <v>54</v>
      </c>
      <c r="E69" s="692">
        <v>54</v>
      </c>
      <c r="F69" s="691"/>
      <c r="G69" s="691"/>
      <c r="H69" s="687"/>
      <c r="I69" s="653" t="s">
        <v>178</v>
      </c>
      <c r="J69" s="653" t="s">
        <v>101</v>
      </c>
      <c r="K69" s="654">
        <v>54</v>
      </c>
      <c r="L69" s="653">
        <f>ROUND(K69,0)</f>
        <v>54</v>
      </c>
    </row>
    <row r="70" ht="21" customHeight="1" spans="1:8">
      <c r="A70" s="682" t="s">
        <v>179</v>
      </c>
      <c r="B70" s="683">
        <f>SUM(B71:B73)</f>
        <v>279</v>
      </c>
      <c r="C70" s="684">
        <f>SUM(C71:C73)</f>
        <v>291</v>
      </c>
      <c r="D70" s="685">
        <f>SUM(D71:D73)</f>
        <v>314</v>
      </c>
      <c r="E70" s="685">
        <f>SUM(E71:E73)</f>
        <v>314</v>
      </c>
      <c r="F70" s="691"/>
      <c r="G70" s="691"/>
      <c r="H70" s="687"/>
    </row>
    <row r="71" ht="21" customHeight="1" spans="1:12">
      <c r="A71" s="688" t="s">
        <v>91</v>
      </c>
      <c r="B71" s="689">
        <v>261</v>
      </c>
      <c r="C71" s="140">
        <v>271</v>
      </c>
      <c r="D71" s="692">
        <v>291</v>
      </c>
      <c r="E71" s="692">
        <v>291</v>
      </c>
      <c r="F71" s="691"/>
      <c r="G71" s="691"/>
      <c r="H71" s="687"/>
      <c r="I71" s="653" t="s">
        <v>180</v>
      </c>
      <c r="J71" s="653" t="s">
        <v>91</v>
      </c>
      <c r="K71" s="654">
        <v>291</v>
      </c>
      <c r="L71" s="653">
        <f>ROUND(K71,0)</f>
        <v>291</v>
      </c>
    </row>
    <row r="72" ht="21" customHeight="1" spans="1:12">
      <c r="A72" s="688" t="s">
        <v>93</v>
      </c>
      <c r="B72" s="689"/>
      <c r="C72" s="140"/>
      <c r="D72" s="692">
        <v>3</v>
      </c>
      <c r="E72" s="692">
        <v>3</v>
      </c>
      <c r="F72" s="691"/>
      <c r="G72" s="691"/>
      <c r="H72" s="687"/>
      <c r="I72" s="653" t="s">
        <v>181</v>
      </c>
      <c r="J72" s="653" t="s">
        <v>93</v>
      </c>
      <c r="K72" s="654">
        <v>3</v>
      </c>
      <c r="L72" s="653">
        <f>ROUND(K72,0)</f>
        <v>3</v>
      </c>
    </row>
    <row r="73" ht="21" customHeight="1" spans="1:12">
      <c r="A73" s="688" t="s">
        <v>182</v>
      </c>
      <c r="B73" s="689">
        <v>18</v>
      </c>
      <c r="C73" s="140">
        <v>20</v>
      </c>
      <c r="D73" s="692">
        <v>20</v>
      </c>
      <c r="E73" s="692">
        <v>20</v>
      </c>
      <c r="F73" s="691"/>
      <c r="G73" s="691"/>
      <c r="H73" s="687"/>
      <c r="I73" s="653" t="s">
        <v>183</v>
      </c>
      <c r="J73" s="653" t="s">
        <v>182</v>
      </c>
      <c r="K73" s="654">
        <v>20</v>
      </c>
      <c r="L73" s="653">
        <f>ROUND(K73,0)</f>
        <v>20</v>
      </c>
    </row>
    <row r="74" ht="21" customHeight="1" spans="1:8">
      <c r="A74" s="701" t="s">
        <v>184</v>
      </c>
      <c r="B74" s="683">
        <f>SUM(B75:B76)</f>
        <v>435</v>
      </c>
      <c r="C74" s="684">
        <f>SUM(C75:C76)</f>
        <v>360</v>
      </c>
      <c r="D74" s="685">
        <f>SUM(D75:D76)</f>
        <v>398</v>
      </c>
      <c r="E74" s="685">
        <f>SUM(E75:E76)</f>
        <v>398</v>
      </c>
      <c r="F74" s="686"/>
      <c r="G74" s="686"/>
      <c r="H74" s="687"/>
    </row>
    <row r="75" ht="21" customHeight="1" spans="1:12">
      <c r="A75" s="688" t="s">
        <v>91</v>
      </c>
      <c r="B75" s="689">
        <v>254</v>
      </c>
      <c r="C75" s="140">
        <v>250</v>
      </c>
      <c r="D75" s="692">
        <v>276</v>
      </c>
      <c r="E75" s="692">
        <v>276</v>
      </c>
      <c r="F75" s="691"/>
      <c r="G75" s="691"/>
      <c r="H75" s="687"/>
      <c r="I75" s="653" t="s">
        <v>185</v>
      </c>
      <c r="J75" s="653" t="s">
        <v>91</v>
      </c>
      <c r="K75" s="654">
        <v>276</v>
      </c>
      <c r="L75" s="653">
        <f>ROUND(K75,0)</f>
        <v>276</v>
      </c>
    </row>
    <row r="76" ht="21" customHeight="1" spans="1:12">
      <c r="A76" s="688" t="s">
        <v>93</v>
      </c>
      <c r="B76" s="689">
        <v>181</v>
      </c>
      <c r="C76" s="140">
        <v>110</v>
      </c>
      <c r="D76" s="692">
        <v>122</v>
      </c>
      <c r="E76" s="692">
        <v>122</v>
      </c>
      <c r="F76" s="691"/>
      <c r="G76" s="691"/>
      <c r="H76" s="687"/>
      <c r="I76" s="653" t="s">
        <v>186</v>
      </c>
      <c r="J76" s="653" t="s">
        <v>93</v>
      </c>
      <c r="K76" s="654">
        <v>122</v>
      </c>
      <c r="L76" s="653">
        <f>ROUND(K76,0)</f>
        <v>122</v>
      </c>
    </row>
    <row r="77" ht="21" customHeight="1" spans="1:8">
      <c r="A77" s="682" t="s">
        <v>187</v>
      </c>
      <c r="B77" s="683">
        <f>SUM(B78:B80)</f>
        <v>1521</v>
      </c>
      <c r="C77" s="684">
        <f>SUM(C78:C80)</f>
        <v>1890</v>
      </c>
      <c r="D77" s="685">
        <f>SUM(D78:D80)</f>
        <v>2229</v>
      </c>
      <c r="E77" s="685">
        <f>SUM(E78:E80)</f>
        <v>2229</v>
      </c>
      <c r="F77" s="686"/>
      <c r="G77" s="686"/>
      <c r="H77" s="687"/>
    </row>
    <row r="78" ht="21" customHeight="1" spans="1:12">
      <c r="A78" s="688" t="s">
        <v>91</v>
      </c>
      <c r="B78" s="689">
        <v>704</v>
      </c>
      <c r="C78" s="140">
        <v>697</v>
      </c>
      <c r="D78" s="692">
        <v>807</v>
      </c>
      <c r="E78" s="692">
        <v>807</v>
      </c>
      <c r="F78" s="691"/>
      <c r="G78" s="691"/>
      <c r="H78" s="687"/>
      <c r="I78" s="653" t="s">
        <v>188</v>
      </c>
      <c r="J78" s="653" t="s">
        <v>91</v>
      </c>
      <c r="K78" s="654">
        <v>807</v>
      </c>
      <c r="L78" s="653">
        <f>ROUND(K78,0)</f>
        <v>807</v>
      </c>
    </row>
    <row r="79" ht="21" customHeight="1" spans="1:12">
      <c r="A79" s="688" t="s">
        <v>93</v>
      </c>
      <c r="B79" s="689">
        <v>507</v>
      </c>
      <c r="C79" s="140">
        <v>797</v>
      </c>
      <c r="D79" s="692">
        <v>1018</v>
      </c>
      <c r="E79" s="692">
        <v>1018</v>
      </c>
      <c r="F79" s="691"/>
      <c r="G79" s="691"/>
      <c r="H79" s="687"/>
      <c r="I79" s="653" t="s">
        <v>189</v>
      </c>
      <c r="J79" s="653" t="s">
        <v>93</v>
      </c>
      <c r="K79" s="654">
        <v>1018</v>
      </c>
      <c r="L79" s="653">
        <f>ROUND(K79,0)</f>
        <v>1018</v>
      </c>
    </row>
    <row r="80" ht="21" customHeight="1" spans="1:12">
      <c r="A80" s="688" t="s">
        <v>101</v>
      </c>
      <c r="B80" s="689">
        <v>310</v>
      </c>
      <c r="C80" s="693">
        <v>396</v>
      </c>
      <c r="D80" s="692">
        <v>404</v>
      </c>
      <c r="E80" s="692">
        <v>404</v>
      </c>
      <c r="F80" s="691"/>
      <c r="G80" s="691"/>
      <c r="H80" s="687"/>
      <c r="I80" s="653" t="s">
        <v>190</v>
      </c>
      <c r="J80" s="653" t="s">
        <v>101</v>
      </c>
      <c r="K80" s="654">
        <v>404</v>
      </c>
      <c r="L80" s="653">
        <f>ROUND(K80,0)</f>
        <v>404</v>
      </c>
    </row>
    <row r="81" ht="21" customHeight="1" spans="1:8">
      <c r="A81" s="694" t="s">
        <v>191</v>
      </c>
      <c r="B81" s="683">
        <f>SUM(B82:B85)</f>
        <v>14607</v>
      </c>
      <c r="C81" s="684">
        <f>SUM(C82:C85)</f>
        <v>4080</v>
      </c>
      <c r="D81" s="685">
        <f>SUM(D82:D85)</f>
        <v>7522</v>
      </c>
      <c r="E81" s="685">
        <f>SUM(E82:E85)</f>
        <v>7522</v>
      </c>
      <c r="F81" s="686"/>
      <c r="G81" s="686"/>
      <c r="H81" s="687"/>
    </row>
    <row r="82" ht="21" customHeight="1" spans="1:12">
      <c r="A82" s="688" t="s">
        <v>91</v>
      </c>
      <c r="B82" s="689">
        <v>11444</v>
      </c>
      <c r="C82" s="140">
        <v>1725</v>
      </c>
      <c r="D82" s="692">
        <v>1768</v>
      </c>
      <c r="E82" s="692">
        <v>1768</v>
      </c>
      <c r="F82" s="691"/>
      <c r="G82" s="691"/>
      <c r="H82" s="687"/>
      <c r="I82" s="653" t="s">
        <v>192</v>
      </c>
      <c r="J82" s="653" t="s">
        <v>91</v>
      </c>
      <c r="K82" s="654">
        <v>1768</v>
      </c>
      <c r="L82" s="653">
        <f>ROUND(K82,0)</f>
        <v>1768</v>
      </c>
    </row>
    <row r="83" ht="21" customHeight="1" spans="1:12">
      <c r="A83" s="688" t="s">
        <v>93</v>
      </c>
      <c r="B83" s="689">
        <v>2786</v>
      </c>
      <c r="C83" s="140">
        <v>1963</v>
      </c>
      <c r="D83" s="692">
        <v>5314</v>
      </c>
      <c r="E83" s="692">
        <v>5314</v>
      </c>
      <c r="F83" s="691"/>
      <c r="G83" s="691"/>
      <c r="H83" s="687"/>
      <c r="I83" s="653" t="s">
        <v>193</v>
      </c>
      <c r="J83" s="653" t="s">
        <v>93</v>
      </c>
      <c r="K83" s="654">
        <v>5314</v>
      </c>
      <c r="L83" s="653">
        <f>ROUND(K83,0)</f>
        <v>5314</v>
      </c>
    </row>
    <row r="84" ht="21" customHeight="1" spans="1:12">
      <c r="A84" s="688" t="s">
        <v>101</v>
      </c>
      <c r="B84" s="689">
        <v>332</v>
      </c>
      <c r="C84" s="140">
        <v>392</v>
      </c>
      <c r="D84" s="692">
        <v>364</v>
      </c>
      <c r="E84" s="692">
        <v>364</v>
      </c>
      <c r="F84" s="691"/>
      <c r="G84" s="691"/>
      <c r="H84" s="687"/>
      <c r="I84" s="645" t="s">
        <v>194</v>
      </c>
      <c r="J84" s="645" t="s">
        <v>101</v>
      </c>
      <c r="K84" s="707">
        <v>364</v>
      </c>
      <c r="L84" s="653">
        <f>ROUND(K84,0)</f>
        <v>364</v>
      </c>
    </row>
    <row r="85" ht="21" customHeight="1" spans="1:12">
      <c r="A85" s="695" t="s">
        <v>195</v>
      </c>
      <c r="B85" s="689">
        <v>45</v>
      </c>
      <c r="C85" s="140"/>
      <c r="D85" s="692">
        <v>76</v>
      </c>
      <c r="E85" s="692">
        <v>76</v>
      </c>
      <c r="F85" s="691"/>
      <c r="G85" s="691"/>
      <c r="H85" s="687"/>
      <c r="I85" s="653" t="s">
        <v>196</v>
      </c>
      <c r="J85" s="653" t="s">
        <v>197</v>
      </c>
      <c r="K85" s="654">
        <v>76</v>
      </c>
      <c r="L85" s="653">
        <f>ROUND(K85,0)</f>
        <v>76</v>
      </c>
    </row>
    <row r="86" ht="21" customHeight="1" spans="1:8">
      <c r="A86" s="682" t="s">
        <v>198</v>
      </c>
      <c r="B86" s="683">
        <f>SUM(B87:B91)</f>
        <v>2521</v>
      </c>
      <c r="C86" s="684">
        <f>SUM(C87:C91)</f>
        <v>1271</v>
      </c>
      <c r="D86" s="685">
        <f>SUM(D87:D91)</f>
        <v>1848</v>
      </c>
      <c r="E86" s="685">
        <f>SUM(E87:E91)</f>
        <v>1848</v>
      </c>
      <c r="F86" s="686"/>
      <c r="G86" s="686"/>
      <c r="H86" s="687"/>
    </row>
    <row r="87" ht="21" customHeight="1" spans="1:12">
      <c r="A87" s="688" t="s">
        <v>91</v>
      </c>
      <c r="B87" s="689">
        <v>732</v>
      </c>
      <c r="C87" s="140">
        <v>726</v>
      </c>
      <c r="D87" s="692">
        <v>838</v>
      </c>
      <c r="E87" s="692">
        <v>838</v>
      </c>
      <c r="F87" s="691"/>
      <c r="G87" s="691"/>
      <c r="H87" s="687"/>
      <c r="I87" s="653" t="s">
        <v>199</v>
      </c>
      <c r="J87" s="653" t="s">
        <v>91</v>
      </c>
      <c r="K87" s="654">
        <v>838</v>
      </c>
      <c r="L87" s="653">
        <f>ROUND(K87,0)</f>
        <v>838</v>
      </c>
    </row>
    <row r="88" ht="21" customHeight="1" spans="1:12">
      <c r="A88" s="688" t="s">
        <v>93</v>
      </c>
      <c r="B88" s="689">
        <v>656</v>
      </c>
      <c r="C88" s="140">
        <v>455</v>
      </c>
      <c r="D88" s="692">
        <v>681</v>
      </c>
      <c r="E88" s="692">
        <v>681</v>
      </c>
      <c r="F88" s="691"/>
      <c r="G88" s="691"/>
      <c r="H88" s="687"/>
      <c r="I88" s="653" t="s">
        <v>200</v>
      </c>
      <c r="J88" s="653" t="s">
        <v>93</v>
      </c>
      <c r="K88" s="654">
        <v>681</v>
      </c>
      <c r="L88" s="653">
        <f>ROUND(K88,0)</f>
        <v>681</v>
      </c>
    </row>
    <row r="89" ht="21" customHeight="1" spans="1:12">
      <c r="A89" s="688" t="s">
        <v>201</v>
      </c>
      <c r="B89" s="689">
        <v>30</v>
      </c>
      <c r="D89" s="692">
        <v>86</v>
      </c>
      <c r="E89" s="692">
        <v>86</v>
      </c>
      <c r="F89" s="691"/>
      <c r="G89" s="691"/>
      <c r="H89" s="687"/>
      <c r="I89" s="653" t="s">
        <v>202</v>
      </c>
      <c r="J89" s="653" t="s">
        <v>201</v>
      </c>
      <c r="K89" s="654">
        <v>86</v>
      </c>
      <c r="L89" s="653">
        <f>ROUND(K89,0)</f>
        <v>86</v>
      </c>
    </row>
    <row r="90" ht="21" customHeight="1" spans="1:12">
      <c r="A90" s="688" t="s">
        <v>101</v>
      </c>
      <c r="B90" s="689">
        <v>70</v>
      </c>
      <c r="C90" s="140">
        <v>90</v>
      </c>
      <c r="D90" s="692">
        <v>93</v>
      </c>
      <c r="E90" s="692">
        <v>93</v>
      </c>
      <c r="F90" s="686"/>
      <c r="G90" s="686"/>
      <c r="H90" s="687"/>
      <c r="I90" s="653" t="s">
        <v>203</v>
      </c>
      <c r="J90" s="653" t="s">
        <v>101</v>
      </c>
      <c r="K90" s="654">
        <v>93</v>
      </c>
      <c r="L90" s="653">
        <f>ROUND(K90,0)</f>
        <v>93</v>
      </c>
    </row>
    <row r="91" ht="21" customHeight="1" spans="1:12">
      <c r="A91" s="688" t="s">
        <v>204</v>
      </c>
      <c r="B91" s="689">
        <v>1033</v>
      </c>
      <c r="C91" s="693"/>
      <c r="D91" s="692">
        <v>150</v>
      </c>
      <c r="E91" s="692">
        <v>150</v>
      </c>
      <c r="F91" s="686"/>
      <c r="G91" s="686"/>
      <c r="H91" s="687"/>
      <c r="I91" s="653" t="s">
        <v>205</v>
      </c>
      <c r="J91" s="653" t="s">
        <v>204</v>
      </c>
      <c r="K91" s="654">
        <v>150</v>
      </c>
      <c r="L91" s="653">
        <f>ROUND(K91,0)</f>
        <v>150</v>
      </c>
    </row>
    <row r="92" ht="21" customHeight="1" spans="1:8">
      <c r="A92" s="682" t="s">
        <v>206</v>
      </c>
      <c r="B92" s="683">
        <f>SUM(B93:B96)</f>
        <v>1491</v>
      </c>
      <c r="C92" s="684">
        <f>SUM(C93:C96)</f>
        <v>1274</v>
      </c>
      <c r="D92" s="685">
        <f>SUM(D93:D96)</f>
        <v>2761</v>
      </c>
      <c r="E92" s="685">
        <f>SUM(E93:E96)</f>
        <v>2761</v>
      </c>
      <c r="F92" s="691"/>
      <c r="G92" s="691"/>
      <c r="H92" s="687"/>
    </row>
    <row r="93" ht="21" customHeight="1" spans="1:12">
      <c r="A93" s="688" t="s">
        <v>91</v>
      </c>
      <c r="B93" s="689">
        <v>551</v>
      </c>
      <c r="C93" s="140">
        <v>556</v>
      </c>
      <c r="D93" s="692">
        <v>614</v>
      </c>
      <c r="E93" s="692">
        <v>614</v>
      </c>
      <c r="F93" s="691"/>
      <c r="G93" s="691"/>
      <c r="H93" s="687"/>
      <c r="I93" s="653" t="s">
        <v>207</v>
      </c>
      <c r="J93" s="653" t="s">
        <v>91</v>
      </c>
      <c r="K93" s="654">
        <v>614</v>
      </c>
      <c r="L93" s="653">
        <f>ROUND(K93,0)</f>
        <v>614</v>
      </c>
    </row>
    <row r="94" ht="21" customHeight="1" spans="1:12">
      <c r="A94" s="688" t="s">
        <v>93</v>
      </c>
      <c r="B94" s="689">
        <v>494</v>
      </c>
      <c r="C94" s="140">
        <v>553</v>
      </c>
      <c r="D94" s="692">
        <v>917</v>
      </c>
      <c r="E94" s="692">
        <v>917</v>
      </c>
      <c r="F94" s="691"/>
      <c r="G94" s="691"/>
      <c r="H94" s="687"/>
      <c r="I94" s="653" t="s">
        <v>208</v>
      </c>
      <c r="J94" s="653" t="s">
        <v>93</v>
      </c>
      <c r="K94" s="654">
        <v>917</v>
      </c>
      <c r="L94" s="653">
        <f>ROUND(K94,0)</f>
        <v>917</v>
      </c>
    </row>
    <row r="95" ht="21" customHeight="1" spans="1:12">
      <c r="A95" s="688" t="s">
        <v>101</v>
      </c>
      <c r="B95" s="689">
        <v>163</v>
      </c>
      <c r="C95" s="140">
        <v>165</v>
      </c>
      <c r="D95" s="692">
        <v>201</v>
      </c>
      <c r="E95" s="692">
        <v>201</v>
      </c>
      <c r="F95" s="691"/>
      <c r="G95" s="691"/>
      <c r="H95" s="687"/>
      <c r="I95" s="653" t="s">
        <v>209</v>
      </c>
      <c r="J95" s="653" t="s">
        <v>101</v>
      </c>
      <c r="K95" s="654">
        <v>201</v>
      </c>
      <c r="L95" s="653">
        <f>ROUND(K95,0)</f>
        <v>201</v>
      </c>
    </row>
    <row r="96" ht="21" customHeight="1" spans="1:12">
      <c r="A96" s="688" t="s">
        <v>210</v>
      </c>
      <c r="B96" s="689">
        <v>283</v>
      </c>
      <c r="C96" s="140"/>
      <c r="D96" s="692">
        <v>1029</v>
      </c>
      <c r="E96" s="692">
        <v>1029</v>
      </c>
      <c r="F96" s="686"/>
      <c r="G96" s="686"/>
      <c r="H96" s="687"/>
      <c r="I96" s="653" t="s">
        <v>211</v>
      </c>
      <c r="J96" s="653" t="s">
        <v>210</v>
      </c>
      <c r="K96" s="654">
        <v>1029</v>
      </c>
      <c r="L96" s="653">
        <f>ROUND(K96,0)</f>
        <v>1029</v>
      </c>
    </row>
    <row r="97" ht="21" customHeight="1" spans="1:8">
      <c r="A97" s="682" t="s">
        <v>212</v>
      </c>
      <c r="B97" s="683">
        <f>SUM(B98:B101)</f>
        <v>1217</v>
      </c>
      <c r="C97" s="684">
        <f>SUM(C98:C101)</f>
        <v>952</v>
      </c>
      <c r="D97" s="685">
        <f>SUM(D98:D101)</f>
        <v>1119</v>
      </c>
      <c r="E97" s="685">
        <f>SUM(E98:E101)</f>
        <v>1119</v>
      </c>
      <c r="F97" s="691"/>
      <c r="G97" s="691"/>
      <c r="H97" s="687"/>
    </row>
    <row r="98" ht="21" customHeight="1" spans="1:12">
      <c r="A98" s="688" t="s">
        <v>91</v>
      </c>
      <c r="B98" s="689">
        <v>493</v>
      </c>
      <c r="C98" s="140">
        <v>514</v>
      </c>
      <c r="D98" s="692">
        <v>543</v>
      </c>
      <c r="E98" s="692">
        <v>543</v>
      </c>
      <c r="F98" s="686"/>
      <c r="G98" s="686"/>
      <c r="H98" s="687"/>
      <c r="I98" s="653" t="s">
        <v>213</v>
      </c>
      <c r="J98" s="653" t="s">
        <v>91</v>
      </c>
      <c r="K98" s="654">
        <v>543</v>
      </c>
      <c r="L98" s="653">
        <f>ROUND(K98,0)</f>
        <v>543</v>
      </c>
    </row>
    <row r="99" ht="21" customHeight="1" spans="1:12">
      <c r="A99" s="688" t="s">
        <v>93</v>
      </c>
      <c r="B99" s="689">
        <v>461</v>
      </c>
      <c r="C99" s="140">
        <v>252</v>
      </c>
      <c r="D99" s="692">
        <v>361</v>
      </c>
      <c r="E99" s="692">
        <v>361</v>
      </c>
      <c r="F99" s="691"/>
      <c r="G99" s="691"/>
      <c r="H99" s="687"/>
      <c r="I99" s="653" t="s">
        <v>214</v>
      </c>
      <c r="J99" s="653" t="s">
        <v>93</v>
      </c>
      <c r="K99" s="654">
        <v>361</v>
      </c>
      <c r="L99" s="653">
        <f>ROUND(K99,0)</f>
        <v>361</v>
      </c>
    </row>
    <row r="100" ht="21" customHeight="1" spans="1:12">
      <c r="A100" s="688" t="s">
        <v>215</v>
      </c>
      <c r="B100" s="689">
        <v>184</v>
      </c>
      <c r="C100" s="140">
        <v>96</v>
      </c>
      <c r="D100" s="692">
        <v>118</v>
      </c>
      <c r="E100" s="692">
        <v>118</v>
      </c>
      <c r="F100" s="686"/>
      <c r="G100" s="686"/>
      <c r="H100" s="687"/>
      <c r="I100" s="653" t="s">
        <v>216</v>
      </c>
      <c r="J100" s="653" t="s">
        <v>215</v>
      </c>
      <c r="K100" s="654">
        <v>118</v>
      </c>
      <c r="L100" s="653">
        <f>ROUND(K100,0)</f>
        <v>118</v>
      </c>
    </row>
    <row r="101" ht="21" customHeight="1" spans="1:12">
      <c r="A101" s="688" t="s">
        <v>101</v>
      </c>
      <c r="B101" s="689">
        <v>79</v>
      </c>
      <c r="C101" s="140">
        <v>90</v>
      </c>
      <c r="D101" s="692">
        <v>97</v>
      </c>
      <c r="E101" s="692">
        <v>97</v>
      </c>
      <c r="F101" s="686"/>
      <c r="G101" s="686"/>
      <c r="H101" s="687"/>
      <c r="I101" s="653" t="s">
        <v>217</v>
      </c>
      <c r="J101" s="653" t="s">
        <v>101</v>
      </c>
      <c r="K101" s="654">
        <v>97</v>
      </c>
      <c r="L101" s="653">
        <f>ROUND(K101,0)</f>
        <v>97</v>
      </c>
    </row>
    <row r="102" ht="21" customHeight="1" spans="1:8">
      <c r="A102" s="682" t="s">
        <v>218</v>
      </c>
      <c r="B102" s="683">
        <f>SUM(B103:B109)</f>
        <v>8201</v>
      </c>
      <c r="C102" s="684">
        <f>SUM(C103:C108)</f>
        <v>7614</v>
      </c>
      <c r="D102" s="685">
        <f>SUM(D103:D109)</f>
        <v>9054</v>
      </c>
      <c r="E102" s="685">
        <f>SUM(E103:E109)</f>
        <v>9054</v>
      </c>
      <c r="F102" s="691"/>
      <c r="G102" s="686"/>
      <c r="H102" s="687"/>
    </row>
    <row r="103" ht="21" customHeight="1" spans="1:12">
      <c r="A103" s="688" t="s">
        <v>91</v>
      </c>
      <c r="B103" s="689">
        <v>4199</v>
      </c>
      <c r="C103" s="140">
        <v>4315</v>
      </c>
      <c r="D103" s="692">
        <v>4754</v>
      </c>
      <c r="E103" s="692">
        <v>4754</v>
      </c>
      <c r="F103" s="691"/>
      <c r="G103" s="686"/>
      <c r="H103" s="687"/>
      <c r="I103" s="653" t="s">
        <v>219</v>
      </c>
      <c r="J103" s="653" t="s">
        <v>91</v>
      </c>
      <c r="K103" s="654">
        <v>4754</v>
      </c>
      <c r="L103" s="653">
        <f t="shared" ref="L103:L109" si="3">ROUND(K103,0)</f>
        <v>4754</v>
      </c>
    </row>
    <row r="104" ht="21" customHeight="1" spans="1:12">
      <c r="A104" s="688" t="s">
        <v>93</v>
      </c>
      <c r="B104" s="689">
        <v>1432</v>
      </c>
      <c r="C104" s="140">
        <v>1376</v>
      </c>
      <c r="D104" s="692">
        <v>1396</v>
      </c>
      <c r="E104" s="692">
        <v>1396</v>
      </c>
      <c r="F104" s="691"/>
      <c r="G104" s="691"/>
      <c r="H104" s="687"/>
      <c r="I104" s="653" t="s">
        <v>220</v>
      </c>
      <c r="J104" s="653" t="s">
        <v>93</v>
      </c>
      <c r="K104" s="654">
        <v>1396</v>
      </c>
      <c r="L104" s="653">
        <f t="shared" si="3"/>
        <v>1396</v>
      </c>
    </row>
    <row r="105" ht="20.1" customHeight="1" spans="1:12">
      <c r="A105" s="688" t="s">
        <v>221</v>
      </c>
      <c r="B105" s="689">
        <v>248</v>
      </c>
      <c r="C105" s="693"/>
      <c r="D105" s="692">
        <v>264</v>
      </c>
      <c r="E105" s="692">
        <v>264</v>
      </c>
      <c r="F105" s="686"/>
      <c r="G105" s="686"/>
      <c r="H105" s="687"/>
      <c r="I105" s="653" t="s">
        <v>222</v>
      </c>
      <c r="J105" s="653" t="s">
        <v>221</v>
      </c>
      <c r="K105" s="654">
        <v>264</v>
      </c>
      <c r="L105" s="653">
        <f t="shared" si="3"/>
        <v>264</v>
      </c>
    </row>
    <row r="106" ht="20.1" customHeight="1" spans="1:12">
      <c r="A106" s="688" t="s">
        <v>223</v>
      </c>
      <c r="B106" s="689"/>
      <c r="C106" s="693"/>
      <c r="D106" s="692">
        <v>525</v>
      </c>
      <c r="E106" s="692">
        <v>525</v>
      </c>
      <c r="F106" s="686"/>
      <c r="G106" s="686"/>
      <c r="H106" s="687"/>
      <c r="I106" s="653" t="s">
        <v>224</v>
      </c>
      <c r="J106" s="653" t="s">
        <v>223</v>
      </c>
      <c r="K106" s="654">
        <v>525</v>
      </c>
      <c r="L106" s="653">
        <f t="shared" si="3"/>
        <v>525</v>
      </c>
    </row>
    <row r="107" ht="20.1" customHeight="1" spans="1:12">
      <c r="A107" s="688" t="s">
        <v>225</v>
      </c>
      <c r="B107" s="689">
        <v>442</v>
      </c>
      <c r="C107" s="140">
        <v>60</v>
      </c>
      <c r="D107" s="692">
        <v>61</v>
      </c>
      <c r="E107" s="692">
        <v>61</v>
      </c>
      <c r="F107" s="686"/>
      <c r="G107" s="686"/>
      <c r="H107" s="687"/>
      <c r="I107" s="653" t="s">
        <v>226</v>
      </c>
      <c r="J107" s="653" t="s">
        <v>225</v>
      </c>
      <c r="K107" s="654">
        <v>61</v>
      </c>
      <c r="L107" s="653">
        <f t="shared" si="3"/>
        <v>61</v>
      </c>
    </row>
    <row r="108" ht="20.1" customHeight="1" spans="1:12">
      <c r="A108" s="688" t="s">
        <v>101</v>
      </c>
      <c r="B108" s="689">
        <v>1685</v>
      </c>
      <c r="C108" s="140">
        <v>1863</v>
      </c>
      <c r="D108" s="692">
        <v>2053</v>
      </c>
      <c r="E108" s="692">
        <v>2053</v>
      </c>
      <c r="F108" s="686"/>
      <c r="G108" s="686"/>
      <c r="H108" s="687"/>
      <c r="I108" s="653" t="s">
        <v>227</v>
      </c>
      <c r="J108" s="653" t="s">
        <v>101</v>
      </c>
      <c r="K108" s="654">
        <v>2053</v>
      </c>
      <c r="L108" s="653">
        <f t="shared" si="3"/>
        <v>2053</v>
      </c>
    </row>
    <row r="109" ht="20.1" customHeight="1" spans="1:12">
      <c r="A109" s="688" t="s">
        <v>228</v>
      </c>
      <c r="B109" s="689">
        <v>195</v>
      </c>
      <c r="C109" s="140"/>
      <c r="D109" s="692">
        <v>1</v>
      </c>
      <c r="E109" s="692">
        <v>1</v>
      </c>
      <c r="F109" s="686"/>
      <c r="G109" s="686"/>
      <c r="H109" s="687"/>
      <c r="I109" s="653" t="s">
        <v>229</v>
      </c>
      <c r="J109" s="653" t="s">
        <v>228</v>
      </c>
      <c r="K109" s="654">
        <v>1</v>
      </c>
      <c r="L109" s="653">
        <f t="shared" si="3"/>
        <v>1</v>
      </c>
    </row>
    <row r="110" ht="20.1" customHeight="1" spans="1:8">
      <c r="A110" s="682" t="s">
        <v>230</v>
      </c>
      <c r="B110" s="683">
        <f>SUM(B111)</f>
        <v>2274</v>
      </c>
      <c r="C110" s="684">
        <f>SUM(C111)</f>
        <v>905</v>
      </c>
      <c r="D110" s="685">
        <f>SUM(D111)</f>
        <v>1760</v>
      </c>
      <c r="E110" s="685">
        <f>SUM(E111)</f>
        <v>1760</v>
      </c>
      <c r="F110" s="691"/>
      <c r="G110" s="691"/>
      <c r="H110" s="687"/>
    </row>
    <row r="111" ht="20.1" customHeight="1" spans="1:12">
      <c r="A111" s="688" t="s">
        <v>231</v>
      </c>
      <c r="B111" s="702">
        <v>2274</v>
      </c>
      <c r="C111" s="703">
        <v>905</v>
      </c>
      <c r="D111" s="692">
        <v>1760</v>
      </c>
      <c r="E111" s="692">
        <v>1760</v>
      </c>
      <c r="F111" s="691"/>
      <c r="G111" s="691"/>
      <c r="H111" s="687"/>
      <c r="I111" s="653" t="s">
        <v>232</v>
      </c>
      <c r="J111" s="653" t="s">
        <v>231</v>
      </c>
      <c r="K111" s="654">
        <v>1760</v>
      </c>
      <c r="L111" s="653">
        <f>ROUND(K111,0)</f>
        <v>1760</v>
      </c>
    </row>
    <row r="112" ht="20.1" customHeight="1" spans="1:12">
      <c r="A112" s="676" t="s">
        <v>233</v>
      </c>
      <c r="B112" s="677">
        <f>B115+B113</f>
        <v>639</v>
      </c>
      <c r="C112" s="678">
        <f>C115+C113</f>
        <v>675</v>
      </c>
      <c r="D112" s="678">
        <f>D115+D113</f>
        <v>773</v>
      </c>
      <c r="E112" s="678">
        <f>E115+E113</f>
        <v>773</v>
      </c>
      <c r="F112" s="704">
        <f>E112/D112*100</f>
        <v>100</v>
      </c>
      <c r="G112" s="704">
        <f>(E112/B112-1)*100</f>
        <v>20.9702660406886</v>
      </c>
      <c r="H112" s="681"/>
      <c r="I112" s="697"/>
      <c r="J112" s="697"/>
      <c r="K112" s="698"/>
      <c r="L112" s="697"/>
    </row>
    <row r="113" ht="20.1" customHeight="1" spans="1:8">
      <c r="A113" s="540" t="s">
        <v>234</v>
      </c>
      <c r="B113" s="683">
        <f>B114</f>
        <v>301</v>
      </c>
      <c r="C113" s="684">
        <f>C114</f>
        <v>335</v>
      </c>
      <c r="D113" s="684">
        <f>D114</f>
        <v>371</v>
      </c>
      <c r="E113" s="684">
        <f>E114</f>
        <v>371</v>
      </c>
      <c r="F113" s="686"/>
      <c r="G113" s="704"/>
      <c r="H113" s="681"/>
    </row>
    <row r="114" ht="20.1" customHeight="1" spans="1:12">
      <c r="A114" s="544" t="s">
        <v>235</v>
      </c>
      <c r="B114" s="705">
        <v>301</v>
      </c>
      <c r="C114" s="693">
        <v>335</v>
      </c>
      <c r="D114" s="692">
        <v>371</v>
      </c>
      <c r="E114" s="692">
        <v>371</v>
      </c>
      <c r="F114" s="704"/>
      <c r="G114" s="704"/>
      <c r="H114" s="681"/>
      <c r="I114" s="653" t="s">
        <v>236</v>
      </c>
      <c r="J114" s="653" t="s">
        <v>235</v>
      </c>
      <c r="K114" s="654">
        <v>371</v>
      </c>
      <c r="L114" s="653">
        <f>ROUND(K114,0)</f>
        <v>371</v>
      </c>
    </row>
    <row r="115" ht="20.1" customHeight="1" spans="1:8">
      <c r="A115" s="682" t="s">
        <v>237</v>
      </c>
      <c r="B115" s="683">
        <f>SUM(B116:B116)</f>
        <v>338</v>
      </c>
      <c r="C115" s="684">
        <f>SUM(C116:C116)</f>
        <v>340</v>
      </c>
      <c r="D115" s="685">
        <f>SUM(D116:D116)</f>
        <v>402</v>
      </c>
      <c r="E115" s="685">
        <f>SUM(E116:E116)</f>
        <v>402</v>
      </c>
      <c r="F115" s="704"/>
      <c r="G115" s="704"/>
      <c r="H115" s="706"/>
    </row>
    <row r="116" ht="20.1" customHeight="1" spans="1:12">
      <c r="A116" s="688" t="s">
        <v>238</v>
      </c>
      <c r="B116" s="689">
        <v>338</v>
      </c>
      <c r="C116" s="693">
        <v>340</v>
      </c>
      <c r="D116" s="692">
        <v>402</v>
      </c>
      <c r="E116" s="692">
        <v>402</v>
      </c>
      <c r="F116" s="691"/>
      <c r="G116" s="691"/>
      <c r="H116" s="687"/>
      <c r="I116" s="653" t="s">
        <v>239</v>
      </c>
      <c r="J116" s="653" t="s">
        <v>238</v>
      </c>
      <c r="K116" s="654">
        <v>402</v>
      </c>
      <c r="L116" s="653">
        <f>ROUND(K116,0)</f>
        <v>402</v>
      </c>
    </row>
    <row r="117" ht="20.1" customHeight="1" spans="1:12">
      <c r="A117" s="676" t="s">
        <v>240</v>
      </c>
      <c r="B117" s="677">
        <f>B118+B120+B126+B128+B133+B141</f>
        <v>51818</v>
      </c>
      <c r="C117" s="678">
        <f>C118+C120+C126+C128+C133+C141</f>
        <v>50974</v>
      </c>
      <c r="D117" s="679">
        <f>D118+D120+D126+D128+D133+D141+D144</f>
        <v>52553</v>
      </c>
      <c r="E117" s="679">
        <f>E118+E120+E126+E128+E133+E141+E144</f>
        <v>52553</v>
      </c>
      <c r="F117" s="704">
        <f>E117/D117*100</f>
        <v>100</v>
      </c>
      <c r="G117" s="704">
        <f>(E117/B117-1)*100</f>
        <v>1.41842602956501</v>
      </c>
      <c r="H117" s="681"/>
      <c r="I117" s="697"/>
      <c r="J117" s="697"/>
      <c r="K117" s="698"/>
      <c r="L117" s="697"/>
    </row>
    <row r="118" ht="20.1" customHeight="1" spans="1:8">
      <c r="A118" s="682" t="s">
        <v>241</v>
      </c>
      <c r="B118" s="683">
        <f>SUM(B119:B119)</f>
        <v>48</v>
      </c>
      <c r="C118" s="684">
        <f>SUM(C119:C119)</f>
        <v>48</v>
      </c>
      <c r="D118" s="685">
        <f>SUM(D119:D119)</f>
        <v>48</v>
      </c>
      <c r="E118" s="685">
        <v>48</v>
      </c>
      <c r="F118" s="691"/>
      <c r="G118" s="691"/>
      <c r="H118" s="687"/>
    </row>
    <row r="119" ht="20.1" customHeight="1" spans="1:12">
      <c r="A119" s="688" t="s">
        <v>242</v>
      </c>
      <c r="B119" s="689">
        <v>48</v>
      </c>
      <c r="C119" s="703">
        <v>48</v>
      </c>
      <c r="D119" s="692">
        <v>48</v>
      </c>
      <c r="E119" s="692">
        <v>48</v>
      </c>
      <c r="F119" s="691"/>
      <c r="G119" s="691"/>
      <c r="H119" s="687"/>
      <c r="I119" s="653" t="s">
        <v>243</v>
      </c>
      <c r="J119" s="653" t="s">
        <v>242</v>
      </c>
      <c r="K119" s="654">
        <v>48</v>
      </c>
      <c r="L119" s="653">
        <f>ROUND(K119,0)</f>
        <v>48</v>
      </c>
    </row>
    <row r="120" ht="20.1" customHeight="1" spans="1:8">
      <c r="A120" s="682" t="s">
        <v>244</v>
      </c>
      <c r="B120" s="683">
        <f>SUM(B121:B125)</f>
        <v>46771</v>
      </c>
      <c r="C120" s="684">
        <f>SUM(C121:C125)</f>
        <v>45451</v>
      </c>
      <c r="D120" s="685">
        <f>SUM(D121:D125)</f>
        <v>48300</v>
      </c>
      <c r="E120" s="685">
        <f>SUM(E121:E125)</f>
        <v>48300</v>
      </c>
      <c r="F120" s="691"/>
      <c r="G120" s="691"/>
      <c r="H120" s="687"/>
    </row>
    <row r="121" ht="20.1" customHeight="1" spans="1:12">
      <c r="A121" s="688" t="s">
        <v>91</v>
      </c>
      <c r="B121" s="689">
        <v>30775</v>
      </c>
      <c r="C121" s="140">
        <v>29758</v>
      </c>
      <c r="D121" s="692">
        <v>31215</v>
      </c>
      <c r="E121" s="692">
        <v>31215</v>
      </c>
      <c r="F121" s="686"/>
      <c r="G121" s="686"/>
      <c r="H121" s="687"/>
      <c r="I121" s="653" t="s">
        <v>245</v>
      </c>
      <c r="J121" s="653" t="s">
        <v>91</v>
      </c>
      <c r="K121" s="654">
        <v>31215</v>
      </c>
      <c r="L121" s="653">
        <f>ROUND(K121,0)</f>
        <v>31215</v>
      </c>
    </row>
    <row r="122" ht="20.1" customHeight="1" spans="1:12">
      <c r="A122" s="688" t="s">
        <v>93</v>
      </c>
      <c r="B122" s="689">
        <v>9095</v>
      </c>
      <c r="C122" s="140">
        <v>10444</v>
      </c>
      <c r="D122" s="692">
        <v>2063</v>
      </c>
      <c r="E122" s="692">
        <v>2063</v>
      </c>
      <c r="F122" s="691"/>
      <c r="G122" s="691"/>
      <c r="H122" s="687"/>
      <c r="I122" s="653" t="s">
        <v>246</v>
      </c>
      <c r="J122" s="653" t="s">
        <v>93</v>
      </c>
      <c r="K122" s="654">
        <v>2063</v>
      </c>
      <c r="L122" s="653">
        <f>ROUND(K122,0)</f>
        <v>2063</v>
      </c>
    </row>
    <row r="123" ht="20.1" customHeight="1" spans="1:12">
      <c r="A123" s="688" t="s">
        <v>146</v>
      </c>
      <c r="B123" s="689"/>
      <c r="C123" s="140">
        <v>2450</v>
      </c>
      <c r="D123" s="692">
        <v>2868</v>
      </c>
      <c r="E123" s="692">
        <v>2868</v>
      </c>
      <c r="F123" s="686"/>
      <c r="G123" s="686"/>
      <c r="H123" s="687"/>
      <c r="I123" s="653" t="s">
        <v>247</v>
      </c>
      <c r="J123" s="653" t="s">
        <v>146</v>
      </c>
      <c r="K123" s="654">
        <v>2868</v>
      </c>
      <c r="L123" s="653">
        <f>ROUND(K123,0)</f>
        <v>2868</v>
      </c>
    </row>
    <row r="124" ht="20.1" customHeight="1" spans="1:12">
      <c r="A124" s="688" t="s">
        <v>248</v>
      </c>
      <c r="B124" s="689">
        <v>1184</v>
      </c>
      <c r="C124" s="140">
        <v>1020</v>
      </c>
      <c r="D124" s="692">
        <v>1020</v>
      </c>
      <c r="E124" s="692">
        <v>1020</v>
      </c>
      <c r="F124" s="691"/>
      <c r="G124" s="691"/>
      <c r="H124" s="687"/>
      <c r="I124" s="653" t="s">
        <v>249</v>
      </c>
      <c r="J124" s="653" t="s">
        <v>248</v>
      </c>
      <c r="K124" s="654">
        <v>1020</v>
      </c>
      <c r="L124" s="653">
        <f>ROUND(K124,0)</f>
        <v>1020</v>
      </c>
    </row>
    <row r="125" ht="20.1" customHeight="1" spans="1:12">
      <c r="A125" s="688" t="s">
        <v>250</v>
      </c>
      <c r="B125" s="689">
        <v>5717</v>
      </c>
      <c r="C125" s="140">
        <v>1779</v>
      </c>
      <c r="D125" s="692">
        <v>11134</v>
      </c>
      <c r="E125" s="692">
        <v>11134</v>
      </c>
      <c r="F125" s="691"/>
      <c r="G125" s="691"/>
      <c r="H125" s="687"/>
      <c r="I125" s="653" t="s">
        <v>251</v>
      </c>
      <c r="J125" s="653" t="s">
        <v>250</v>
      </c>
      <c r="K125" s="654">
        <v>11134</v>
      </c>
      <c r="L125" s="653">
        <f>ROUND(K125,0)</f>
        <v>11134</v>
      </c>
    </row>
    <row r="126" ht="20.1" customHeight="1" spans="1:8">
      <c r="A126" s="682" t="s">
        <v>252</v>
      </c>
      <c r="B126" s="683">
        <f>SUM(B127:B127)</f>
        <v>5</v>
      </c>
      <c r="C126" s="684">
        <f>C127</f>
        <v>0</v>
      </c>
      <c r="D126" s="685">
        <f>SUM(D127:D127)</f>
        <v>5</v>
      </c>
      <c r="E126" s="685">
        <v>5</v>
      </c>
      <c r="F126" s="691"/>
      <c r="G126" s="691"/>
      <c r="H126" s="687"/>
    </row>
    <row r="127" ht="20.1" customHeight="1" spans="1:12">
      <c r="A127" s="688" t="s">
        <v>253</v>
      </c>
      <c r="B127" s="689">
        <v>5</v>
      </c>
      <c r="C127" s="703"/>
      <c r="D127" s="692">
        <v>5</v>
      </c>
      <c r="E127" s="692">
        <v>5</v>
      </c>
      <c r="F127" s="691"/>
      <c r="G127" s="691"/>
      <c r="H127" s="687"/>
      <c r="I127" s="653" t="s">
        <v>254</v>
      </c>
      <c r="J127" s="653" t="s">
        <v>253</v>
      </c>
      <c r="K127" s="654">
        <v>5</v>
      </c>
      <c r="L127" s="653">
        <f>ROUND(K127,0)</f>
        <v>5</v>
      </c>
    </row>
    <row r="128" ht="20.1" customHeight="1" spans="1:8">
      <c r="A128" s="682" t="s">
        <v>255</v>
      </c>
      <c r="B128" s="683">
        <f>SUM(B129:B132)</f>
        <v>669</v>
      </c>
      <c r="C128" s="684">
        <f>SUM(C132:C132)</f>
        <v>0</v>
      </c>
      <c r="D128" s="685">
        <f>SUM(D129:D132)</f>
        <v>381</v>
      </c>
      <c r="E128" s="685">
        <f>SUM(E129:E132)</f>
        <v>381</v>
      </c>
      <c r="F128" s="686"/>
      <c r="G128" s="686"/>
      <c r="H128" s="687"/>
    </row>
    <row r="129" ht="20.1" customHeight="1" spans="1:12">
      <c r="A129" s="688" t="s">
        <v>256</v>
      </c>
      <c r="B129" s="708">
        <v>71</v>
      </c>
      <c r="C129" s="703"/>
      <c r="D129" s="692">
        <v>58</v>
      </c>
      <c r="E129" s="692">
        <v>58</v>
      </c>
      <c r="F129" s="691"/>
      <c r="G129" s="691"/>
      <c r="H129" s="687"/>
      <c r="I129" s="653" t="s">
        <v>257</v>
      </c>
      <c r="J129" s="653" t="s">
        <v>258</v>
      </c>
      <c r="K129" s="654">
        <v>58</v>
      </c>
      <c r="L129" s="653">
        <f>ROUND(K129,0)</f>
        <v>58</v>
      </c>
    </row>
    <row r="130" ht="20.1" customHeight="1" spans="1:12">
      <c r="A130" s="688" t="s">
        <v>259</v>
      </c>
      <c r="B130" s="708"/>
      <c r="C130" s="703"/>
      <c r="D130" s="692">
        <v>101</v>
      </c>
      <c r="E130" s="692">
        <v>101</v>
      </c>
      <c r="F130" s="691"/>
      <c r="G130" s="691"/>
      <c r="H130" s="687"/>
      <c r="I130" s="653" t="s">
        <v>260</v>
      </c>
      <c r="J130" s="653" t="s">
        <v>259</v>
      </c>
      <c r="K130" s="654">
        <v>101</v>
      </c>
      <c r="L130" s="653">
        <f>ROUND(K130,0)</f>
        <v>101</v>
      </c>
    </row>
    <row r="131" ht="20.1" customHeight="1" spans="1:12">
      <c r="A131" s="688" t="s">
        <v>261</v>
      </c>
      <c r="B131" s="708">
        <v>100</v>
      </c>
      <c r="C131" s="703"/>
      <c r="D131" s="692">
        <v>150</v>
      </c>
      <c r="E131" s="692">
        <v>150</v>
      </c>
      <c r="F131" s="691"/>
      <c r="G131" s="691"/>
      <c r="H131" s="687"/>
      <c r="I131" s="653" t="s">
        <v>262</v>
      </c>
      <c r="J131" s="653" t="s">
        <v>261</v>
      </c>
      <c r="K131" s="654">
        <v>150</v>
      </c>
      <c r="L131" s="653">
        <f>ROUND(K131,0)</f>
        <v>150</v>
      </c>
    </row>
    <row r="132" ht="20.1" customHeight="1" spans="1:12">
      <c r="A132" s="688" t="s">
        <v>263</v>
      </c>
      <c r="B132" s="696">
        <v>498</v>
      </c>
      <c r="C132" s="703"/>
      <c r="D132" s="692">
        <v>72</v>
      </c>
      <c r="E132" s="692">
        <v>72</v>
      </c>
      <c r="F132" s="691"/>
      <c r="G132" s="691"/>
      <c r="H132" s="687"/>
      <c r="I132" s="653" t="s">
        <v>264</v>
      </c>
      <c r="J132" s="653" t="s">
        <v>263</v>
      </c>
      <c r="K132" s="654">
        <v>72</v>
      </c>
      <c r="L132" s="653">
        <f>ROUND(K132,0)</f>
        <v>72</v>
      </c>
    </row>
    <row r="133" ht="22.5" customHeight="1" spans="1:8">
      <c r="A133" s="682" t="s">
        <v>265</v>
      </c>
      <c r="B133" s="683">
        <f>SUM(B134:B140)</f>
        <v>2850</v>
      </c>
      <c r="C133" s="684">
        <f>SUM(C134:C140)</f>
        <v>3135</v>
      </c>
      <c r="D133" s="685">
        <f>SUM(D134:D140)</f>
        <v>3384</v>
      </c>
      <c r="E133" s="685">
        <f>SUM(E134:E140)</f>
        <v>3384</v>
      </c>
      <c r="F133" s="691"/>
      <c r="G133" s="691"/>
      <c r="H133" s="687"/>
    </row>
    <row r="134" ht="20.1" customHeight="1" spans="1:12">
      <c r="A134" s="688" t="s">
        <v>91</v>
      </c>
      <c r="B134" s="689">
        <v>1893</v>
      </c>
      <c r="C134" s="140">
        <v>1953</v>
      </c>
      <c r="D134" s="692">
        <v>2078</v>
      </c>
      <c r="E134" s="692">
        <v>2078</v>
      </c>
      <c r="F134" s="691"/>
      <c r="G134" s="691"/>
      <c r="H134" s="687"/>
      <c r="I134" s="653" t="s">
        <v>266</v>
      </c>
      <c r="J134" s="653" t="s">
        <v>91</v>
      </c>
      <c r="K134" s="654">
        <v>2078</v>
      </c>
      <c r="L134" s="653">
        <f>ROUND(K134,0)</f>
        <v>2078</v>
      </c>
    </row>
    <row r="135" ht="20.1" customHeight="1" spans="1:12">
      <c r="A135" s="688" t="s">
        <v>93</v>
      </c>
      <c r="B135" s="689">
        <v>287</v>
      </c>
      <c r="C135" s="140">
        <v>350</v>
      </c>
      <c r="D135" s="692">
        <v>370</v>
      </c>
      <c r="E135" s="692">
        <v>370</v>
      </c>
      <c r="F135" s="691"/>
      <c r="G135" s="691"/>
      <c r="H135" s="687"/>
      <c r="I135" s="653" t="s">
        <v>267</v>
      </c>
      <c r="J135" s="653" t="s">
        <v>93</v>
      </c>
      <c r="K135" s="654">
        <v>370</v>
      </c>
      <c r="L135" s="653">
        <f>ROUND(K135,0)</f>
        <v>370</v>
      </c>
    </row>
    <row r="136" ht="20.1" customHeight="1" spans="1:8">
      <c r="A136" s="688" t="s">
        <v>268</v>
      </c>
      <c r="B136" s="689">
        <v>10</v>
      </c>
      <c r="C136" s="140"/>
      <c r="D136" s="692"/>
      <c r="E136" s="692"/>
      <c r="F136" s="691"/>
      <c r="G136" s="691"/>
      <c r="H136" s="687"/>
    </row>
    <row r="137" ht="20.1" customHeight="1" spans="1:12">
      <c r="A137" s="688" t="s">
        <v>269</v>
      </c>
      <c r="B137" s="689">
        <v>157</v>
      </c>
      <c r="C137" s="140">
        <v>220</v>
      </c>
      <c r="D137" s="692">
        <v>238</v>
      </c>
      <c r="E137" s="692">
        <v>238</v>
      </c>
      <c r="F137" s="691"/>
      <c r="G137" s="691"/>
      <c r="H137" s="687"/>
      <c r="I137" s="653" t="s">
        <v>270</v>
      </c>
      <c r="J137" s="653" t="s">
        <v>269</v>
      </c>
      <c r="K137" s="654">
        <v>238</v>
      </c>
      <c r="L137" s="653">
        <f>ROUND(K137,0)</f>
        <v>238</v>
      </c>
    </row>
    <row r="138" ht="20.1" customHeight="1" spans="1:12">
      <c r="A138" s="688" t="s">
        <v>271</v>
      </c>
      <c r="B138" s="689">
        <v>200</v>
      </c>
      <c r="C138" s="140">
        <v>228</v>
      </c>
      <c r="D138" s="692">
        <v>258</v>
      </c>
      <c r="E138" s="692">
        <v>258</v>
      </c>
      <c r="F138" s="691"/>
      <c r="G138" s="691"/>
      <c r="H138" s="687"/>
      <c r="I138" s="653" t="s">
        <v>272</v>
      </c>
      <c r="J138" s="653" t="s">
        <v>271</v>
      </c>
      <c r="K138" s="654">
        <v>258</v>
      </c>
      <c r="L138" s="653">
        <f>ROUND(K138,0)</f>
        <v>258</v>
      </c>
    </row>
    <row r="139" ht="20.1" customHeight="1" spans="1:12">
      <c r="A139" s="688" t="s">
        <v>101</v>
      </c>
      <c r="B139" s="689">
        <v>284</v>
      </c>
      <c r="C139" s="140">
        <v>360</v>
      </c>
      <c r="D139" s="692">
        <v>370</v>
      </c>
      <c r="E139" s="692">
        <v>370</v>
      </c>
      <c r="F139" s="686"/>
      <c r="G139" s="686"/>
      <c r="H139" s="687"/>
      <c r="I139" s="653" t="s">
        <v>273</v>
      </c>
      <c r="J139" s="653" t="s">
        <v>101</v>
      </c>
      <c r="K139" s="654">
        <v>370</v>
      </c>
      <c r="L139" s="653">
        <f>ROUND(K139,0)</f>
        <v>370</v>
      </c>
    </row>
    <row r="140" ht="20.1" customHeight="1" spans="1:12">
      <c r="A140" s="688" t="s">
        <v>274</v>
      </c>
      <c r="B140" s="689">
        <v>19</v>
      </c>
      <c r="C140" s="140">
        <v>24</v>
      </c>
      <c r="D140" s="692">
        <v>70</v>
      </c>
      <c r="E140" s="692">
        <v>70</v>
      </c>
      <c r="F140" s="686"/>
      <c r="G140" s="686"/>
      <c r="H140" s="687"/>
      <c r="I140" s="653" t="s">
        <v>275</v>
      </c>
      <c r="J140" s="653" t="s">
        <v>274</v>
      </c>
      <c r="K140" s="654">
        <v>70</v>
      </c>
      <c r="L140" s="653">
        <f>ROUND(K140,0)</f>
        <v>70</v>
      </c>
    </row>
    <row r="141" ht="20.1" customHeight="1" spans="1:8">
      <c r="A141" s="682" t="s">
        <v>276</v>
      </c>
      <c r="B141" s="683">
        <f>SUM(B142:B143)</f>
        <v>1475</v>
      </c>
      <c r="C141" s="684">
        <f>SUM(C142:C143)</f>
        <v>2340</v>
      </c>
      <c r="D141" s="684">
        <f>SUM(D142:D143)</f>
        <v>425</v>
      </c>
      <c r="E141" s="684">
        <f>SUM(E142:E143)</f>
        <v>425</v>
      </c>
      <c r="F141" s="691"/>
      <c r="G141" s="691"/>
      <c r="H141" s="687"/>
    </row>
    <row r="142" ht="20.1" customHeight="1" spans="1:12">
      <c r="A142" s="688" t="s">
        <v>93</v>
      </c>
      <c r="B142" s="696">
        <v>1070</v>
      </c>
      <c r="C142" s="703">
        <v>1070</v>
      </c>
      <c r="D142" s="692">
        <v>425</v>
      </c>
      <c r="E142" s="692">
        <v>425</v>
      </c>
      <c r="F142" s="686"/>
      <c r="G142" s="686"/>
      <c r="H142" s="687"/>
      <c r="I142" s="653" t="s">
        <v>277</v>
      </c>
      <c r="J142" s="653" t="s">
        <v>93</v>
      </c>
      <c r="K142" s="654">
        <v>425</v>
      </c>
      <c r="L142" s="653">
        <f>ROUND(K142,0)</f>
        <v>425</v>
      </c>
    </row>
    <row r="143" ht="20.1" customHeight="1" spans="1:12">
      <c r="A143" s="709" t="s">
        <v>278</v>
      </c>
      <c r="B143" s="696">
        <v>405</v>
      </c>
      <c r="C143" s="703">
        <v>1270</v>
      </c>
      <c r="D143" s="692"/>
      <c r="E143" s="692"/>
      <c r="F143" s="686"/>
      <c r="G143" s="686"/>
      <c r="H143" s="687"/>
      <c r="I143" s="653" t="s">
        <v>279</v>
      </c>
      <c r="J143" s="653" t="s">
        <v>278</v>
      </c>
      <c r="K143" s="654">
        <v>0</v>
      </c>
      <c r="L143" s="653">
        <f>ROUND(K143,0)</f>
        <v>0</v>
      </c>
    </row>
    <row r="144" ht="20.1" customHeight="1" spans="1:8">
      <c r="A144" s="682" t="s">
        <v>280</v>
      </c>
      <c r="B144" s="710">
        <f>B145</f>
        <v>50</v>
      </c>
      <c r="C144" s="685">
        <f>C145</f>
        <v>0</v>
      </c>
      <c r="D144" s="685">
        <f>D145</f>
        <v>10</v>
      </c>
      <c r="E144" s="685">
        <f>E145</f>
        <v>10</v>
      </c>
      <c r="F144" s="686"/>
      <c r="G144" s="686"/>
      <c r="H144" s="711"/>
    </row>
    <row r="145" spans="1:12">
      <c r="A145" s="709" t="s">
        <v>281</v>
      </c>
      <c r="B145" s="705">
        <v>50</v>
      </c>
      <c r="C145" s="703"/>
      <c r="D145" s="692">
        <v>10</v>
      </c>
      <c r="E145" s="692">
        <v>10</v>
      </c>
      <c r="F145" s="686"/>
      <c r="G145" s="686"/>
      <c r="H145" s="687"/>
      <c r="I145" s="653" t="s">
        <v>282</v>
      </c>
      <c r="J145" s="653" t="s">
        <v>281</v>
      </c>
      <c r="K145" s="654">
        <v>10</v>
      </c>
      <c r="L145" s="653">
        <f>ROUND(K145,0)</f>
        <v>10</v>
      </c>
    </row>
    <row r="146" ht="54" customHeight="1" spans="1:12">
      <c r="A146" s="676" t="s">
        <v>283</v>
      </c>
      <c r="B146" s="677">
        <f>B147+B151+B157+B159+B161+B164+B168+B171</f>
        <v>256015</v>
      </c>
      <c r="C146" s="678">
        <f>C147+C151+C157+C159+C161+C164+C168+C171</f>
        <v>268840</v>
      </c>
      <c r="D146" s="679">
        <f>D147+D151+D157+D159+D161+D164+D168+D171</f>
        <v>308053</v>
      </c>
      <c r="E146" s="679">
        <f>E147+E151+E157+E159+E161+E164+E168+E171</f>
        <v>308053</v>
      </c>
      <c r="F146" s="704">
        <f>E146/D146*100</f>
        <v>100</v>
      </c>
      <c r="G146" s="704">
        <f>(E146/B146-1)*100</f>
        <v>20.3261527644865</v>
      </c>
      <c r="H146" s="712" t="s">
        <v>284</v>
      </c>
      <c r="I146" s="697"/>
      <c r="J146" s="697"/>
      <c r="K146" s="698"/>
      <c r="L146" s="697"/>
    </row>
    <row r="147" ht="20.1" customHeight="1" spans="1:8">
      <c r="A147" s="682" t="s">
        <v>285</v>
      </c>
      <c r="B147" s="683">
        <f>SUM(B148:B150)</f>
        <v>1599</v>
      </c>
      <c r="C147" s="684">
        <f>SUM(C148:C150)</f>
        <v>1538</v>
      </c>
      <c r="D147" s="685">
        <f>SUM(D148:D150)</f>
        <v>1712</v>
      </c>
      <c r="E147" s="685">
        <f>SUM(E148:E150)</f>
        <v>1712</v>
      </c>
      <c r="F147" s="686"/>
      <c r="G147" s="686"/>
      <c r="H147" s="687"/>
    </row>
    <row r="148" ht="20.1" customHeight="1" spans="1:12">
      <c r="A148" s="688" t="s">
        <v>91</v>
      </c>
      <c r="B148" s="689">
        <v>1407</v>
      </c>
      <c r="C148" s="693">
        <v>1538</v>
      </c>
      <c r="D148" s="692">
        <v>1693</v>
      </c>
      <c r="E148" s="692">
        <v>1693</v>
      </c>
      <c r="F148" s="691"/>
      <c r="G148" s="686"/>
      <c r="H148" s="687"/>
      <c r="I148" s="653" t="s">
        <v>286</v>
      </c>
      <c r="J148" s="653" t="s">
        <v>91</v>
      </c>
      <c r="K148" s="654">
        <v>1693</v>
      </c>
      <c r="L148" s="653">
        <f>ROUND(K148,0)</f>
        <v>1693</v>
      </c>
    </row>
    <row r="149" ht="20.1" customHeight="1" spans="1:12">
      <c r="A149" s="688" t="s">
        <v>93</v>
      </c>
      <c r="B149" s="689"/>
      <c r="C149" s="140"/>
      <c r="D149" s="692">
        <v>19</v>
      </c>
      <c r="E149" s="692">
        <v>19</v>
      </c>
      <c r="F149" s="691"/>
      <c r="G149" s="686"/>
      <c r="H149" s="687"/>
      <c r="I149" s="653" t="s">
        <v>287</v>
      </c>
      <c r="J149" s="653" t="s">
        <v>93</v>
      </c>
      <c r="K149" s="654">
        <v>19</v>
      </c>
      <c r="L149" s="653">
        <f>ROUND(K149,0)</f>
        <v>19</v>
      </c>
    </row>
    <row r="150" ht="20.1" customHeight="1" spans="1:8">
      <c r="A150" s="688" t="s">
        <v>288</v>
      </c>
      <c r="B150" s="689">
        <v>192</v>
      </c>
      <c r="C150" s="140"/>
      <c r="D150" s="692"/>
      <c r="E150" s="692"/>
      <c r="F150" s="691"/>
      <c r="G150" s="691"/>
      <c r="H150" s="687"/>
    </row>
    <row r="151" ht="22" customHeight="1" spans="1:8">
      <c r="A151" s="682" t="s">
        <v>289</v>
      </c>
      <c r="B151" s="683">
        <f>SUM(B152:B156)</f>
        <v>219935</v>
      </c>
      <c r="C151" s="684">
        <f>SUM(C152:C156)</f>
        <v>236381</v>
      </c>
      <c r="D151" s="685">
        <f>SUM(D152:D156)</f>
        <v>259551</v>
      </c>
      <c r="E151" s="685">
        <f>SUM(E152:E156)</f>
        <v>259551</v>
      </c>
      <c r="F151" s="691"/>
      <c r="G151" s="691"/>
      <c r="H151" s="687"/>
    </row>
    <row r="152" ht="20.1" customHeight="1" spans="1:12">
      <c r="A152" s="688" t="s">
        <v>290</v>
      </c>
      <c r="B152" s="689">
        <v>5405</v>
      </c>
      <c r="C152" s="140">
        <v>6293</v>
      </c>
      <c r="D152" s="692">
        <v>9894</v>
      </c>
      <c r="E152" s="692">
        <v>9894</v>
      </c>
      <c r="F152" s="686"/>
      <c r="G152" s="686"/>
      <c r="H152" s="687"/>
      <c r="I152" s="653" t="s">
        <v>291</v>
      </c>
      <c r="J152" s="653" t="s">
        <v>290</v>
      </c>
      <c r="K152" s="654">
        <v>9894</v>
      </c>
      <c r="L152" s="653">
        <f>ROUND(K152,0)</f>
        <v>9894</v>
      </c>
    </row>
    <row r="153" ht="20.1" customHeight="1" spans="1:12">
      <c r="A153" s="688" t="s">
        <v>292</v>
      </c>
      <c r="B153" s="689">
        <v>104922</v>
      </c>
      <c r="C153" s="140">
        <v>115427</v>
      </c>
      <c r="D153" s="692">
        <v>123256</v>
      </c>
      <c r="E153" s="692">
        <v>123256</v>
      </c>
      <c r="F153" s="691"/>
      <c r="G153" s="691"/>
      <c r="H153" s="687"/>
      <c r="I153" s="653" t="s">
        <v>293</v>
      </c>
      <c r="J153" s="653" t="s">
        <v>292</v>
      </c>
      <c r="K153" s="654">
        <v>123256</v>
      </c>
      <c r="L153" s="653">
        <f>ROUND(K153,0)</f>
        <v>123256</v>
      </c>
    </row>
    <row r="154" ht="20.1" customHeight="1" spans="1:12">
      <c r="A154" s="688" t="s">
        <v>294</v>
      </c>
      <c r="B154" s="689">
        <v>41238</v>
      </c>
      <c r="C154" s="140">
        <v>46091</v>
      </c>
      <c r="D154" s="692">
        <v>50033</v>
      </c>
      <c r="E154" s="692">
        <v>50033</v>
      </c>
      <c r="F154" s="686"/>
      <c r="G154" s="686"/>
      <c r="H154" s="687"/>
      <c r="I154" s="653" t="s">
        <v>295</v>
      </c>
      <c r="J154" s="653" t="s">
        <v>294</v>
      </c>
      <c r="K154" s="654">
        <v>50033</v>
      </c>
      <c r="L154" s="653">
        <f>ROUND(K154,0)</f>
        <v>50033</v>
      </c>
    </row>
    <row r="155" ht="20.1" customHeight="1" spans="1:12">
      <c r="A155" s="688" t="s">
        <v>296</v>
      </c>
      <c r="B155" s="689">
        <v>61919</v>
      </c>
      <c r="C155" s="140">
        <v>67255</v>
      </c>
      <c r="D155" s="692">
        <v>74609</v>
      </c>
      <c r="E155" s="692">
        <v>74609</v>
      </c>
      <c r="F155" s="691"/>
      <c r="G155" s="691"/>
      <c r="H155" s="687"/>
      <c r="I155" s="653" t="s">
        <v>297</v>
      </c>
      <c r="J155" s="653" t="s">
        <v>296</v>
      </c>
      <c r="K155" s="654">
        <v>74609</v>
      </c>
      <c r="L155" s="653">
        <f>ROUND(K155,0)</f>
        <v>74609</v>
      </c>
    </row>
    <row r="156" ht="20.1" customHeight="1" spans="1:12">
      <c r="A156" s="688" t="s">
        <v>298</v>
      </c>
      <c r="B156" s="689">
        <v>6451</v>
      </c>
      <c r="C156" s="140">
        <v>1315</v>
      </c>
      <c r="D156" s="692">
        <v>1759</v>
      </c>
      <c r="E156" s="692">
        <v>1759</v>
      </c>
      <c r="F156" s="691"/>
      <c r="G156" s="691"/>
      <c r="H156" s="687"/>
      <c r="I156" s="653" t="s">
        <v>299</v>
      </c>
      <c r="J156" s="653" t="s">
        <v>298</v>
      </c>
      <c r="K156" s="654">
        <v>1759</v>
      </c>
      <c r="L156" s="653">
        <f>ROUND(K156,0)</f>
        <v>1759</v>
      </c>
    </row>
    <row r="157" ht="20.1" customHeight="1" spans="1:8">
      <c r="A157" s="682" t="s">
        <v>300</v>
      </c>
      <c r="B157" s="683">
        <f>SUM(B158:B158)</f>
        <v>7692</v>
      </c>
      <c r="C157" s="684">
        <f>SUM(C158:C158)</f>
        <v>6921</v>
      </c>
      <c r="D157" s="684">
        <f>SUM(D158:D158)</f>
        <v>7767</v>
      </c>
      <c r="E157" s="684">
        <f>SUM(E158:E158)</f>
        <v>7767</v>
      </c>
      <c r="F157" s="691"/>
      <c r="G157" s="691"/>
      <c r="H157" s="687"/>
    </row>
    <row r="158" ht="20.1" customHeight="1" spans="1:12">
      <c r="A158" s="688" t="s">
        <v>301</v>
      </c>
      <c r="B158" s="689">
        <v>7692</v>
      </c>
      <c r="C158" s="693">
        <v>6921</v>
      </c>
      <c r="D158" s="692">
        <v>7767</v>
      </c>
      <c r="E158" s="692">
        <v>7767</v>
      </c>
      <c r="F158" s="686"/>
      <c r="G158" s="686"/>
      <c r="H158" s="687"/>
      <c r="I158" s="653" t="s">
        <v>302</v>
      </c>
      <c r="J158" s="653" t="s">
        <v>301</v>
      </c>
      <c r="K158" s="654">
        <v>7767</v>
      </c>
      <c r="L158" s="653">
        <f>ROUND(K158,0)</f>
        <v>7767</v>
      </c>
    </row>
    <row r="159" ht="20.1" customHeight="1" spans="1:8">
      <c r="A159" s="682" t="s">
        <v>303</v>
      </c>
      <c r="B159" s="683">
        <f>SUM(B160)</f>
        <v>333</v>
      </c>
      <c r="C159" s="684">
        <f>SUM(C160)</f>
        <v>344</v>
      </c>
      <c r="D159" s="685">
        <f>SUM(D160)</f>
        <v>396</v>
      </c>
      <c r="E159" s="685">
        <f>SUM(E160)</f>
        <v>396</v>
      </c>
      <c r="F159" s="686"/>
      <c r="G159" s="686"/>
      <c r="H159" s="687"/>
    </row>
    <row r="160" ht="20.1" customHeight="1" spans="1:12">
      <c r="A160" s="688" t="s">
        <v>304</v>
      </c>
      <c r="B160" s="689">
        <v>333</v>
      </c>
      <c r="C160" s="693">
        <v>344</v>
      </c>
      <c r="D160" s="692">
        <v>396</v>
      </c>
      <c r="E160" s="692">
        <v>396</v>
      </c>
      <c r="F160" s="691"/>
      <c r="G160" s="691"/>
      <c r="H160" s="687"/>
      <c r="I160" s="653" t="s">
        <v>305</v>
      </c>
      <c r="J160" s="653" t="s">
        <v>304</v>
      </c>
      <c r="K160" s="654">
        <v>396</v>
      </c>
      <c r="L160" s="653">
        <f>ROUND(K160,0)</f>
        <v>396</v>
      </c>
    </row>
    <row r="161" ht="20.1" customHeight="1" spans="1:8">
      <c r="A161" s="682" t="s">
        <v>306</v>
      </c>
      <c r="B161" s="683">
        <f>SUM(B162:B163)</f>
        <v>1547</v>
      </c>
      <c r="C161" s="684">
        <f>SUM(C162:C163)</f>
        <v>1504</v>
      </c>
      <c r="D161" s="685">
        <f>SUM(D162:D163)</f>
        <v>3084</v>
      </c>
      <c r="E161" s="685">
        <f>SUM(E162:E163)</f>
        <v>3084</v>
      </c>
      <c r="F161" s="686"/>
      <c r="G161" s="686"/>
      <c r="H161" s="687"/>
    </row>
    <row r="162" ht="20.1" customHeight="1" spans="1:12">
      <c r="A162" s="688" t="s">
        <v>307</v>
      </c>
      <c r="B162" s="689">
        <v>1547</v>
      </c>
      <c r="C162" s="693">
        <v>1504</v>
      </c>
      <c r="D162" s="692">
        <v>3081</v>
      </c>
      <c r="E162" s="692">
        <v>3081</v>
      </c>
      <c r="F162" s="691"/>
      <c r="G162" s="691"/>
      <c r="H162" s="687"/>
      <c r="I162" s="653" t="s">
        <v>308</v>
      </c>
      <c r="J162" s="653" t="s">
        <v>307</v>
      </c>
      <c r="K162" s="654">
        <v>3081</v>
      </c>
      <c r="L162" s="653">
        <f>ROUND(K162,0)</f>
        <v>3081</v>
      </c>
    </row>
    <row r="163" ht="20.1" customHeight="1" spans="1:12">
      <c r="A163" s="688" t="s">
        <v>309</v>
      </c>
      <c r="B163" s="689"/>
      <c r="C163" s="140"/>
      <c r="D163" s="692">
        <v>3</v>
      </c>
      <c r="E163" s="692">
        <v>3</v>
      </c>
      <c r="F163" s="691"/>
      <c r="G163" s="691"/>
      <c r="H163" s="713"/>
      <c r="I163" s="653" t="s">
        <v>310</v>
      </c>
      <c r="J163" s="653" t="s">
        <v>309</v>
      </c>
      <c r="K163" s="654">
        <v>3</v>
      </c>
      <c r="L163" s="653">
        <f>ROUND(K163,0)</f>
        <v>3</v>
      </c>
    </row>
    <row r="164" ht="20.1" customHeight="1" spans="1:8">
      <c r="A164" s="682" t="s">
        <v>311</v>
      </c>
      <c r="B164" s="683">
        <f>SUM(B165:B166)</f>
        <v>1856</v>
      </c>
      <c r="C164" s="684">
        <f>SUM(C165:C166)</f>
        <v>1944</v>
      </c>
      <c r="D164" s="685">
        <f>SUM(D165:D167)</f>
        <v>2246</v>
      </c>
      <c r="E164" s="685">
        <f>SUM(E165:E167)</f>
        <v>2246</v>
      </c>
      <c r="F164" s="686"/>
      <c r="G164" s="686"/>
      <c r="H164" s="687"/>
    </row>
    <row r="165" ht="20.1" customHeight="1" spans="1:12">
      <c r="A165" s="688" t="s">
        <v>312</v>
      </c>
      <c r="B165" s="689">
        <v>1251</v>
      </c>
      <c r="C165" s="693">
        <v>1270</v>
      </c>
      <c r="D165" s="692">
        <v>1309</v>
      </c>
      <c r="E165" s="692">
        <v>1309</v>
      </c>
      <c r="F165" s="686"/>
      <c r="G165" s="686"/>
      <c r="H165" s="687"/>
      <c r="I165" s="653" t="s">
        <v>313</v>
      </c>
      <c r="J165" s="653" t="s">
        <v>312</v>
      </c>
      <c r="K165" s="654">
        <v>1309</v>
      </c>
      <c r="L165" s="653">
        <f>ROUND(K165,0)</f>
        <v>1309</v>
      </c>
    </row>
    <row r="166" ht="20.1" customHeight="1" spans="1:12">
      <c r="A166" s="688" t="s">
        <v>314</v>
      </c>
      <c r="B166" s="689">
        <v>605</v>
      </c>
      <c r="C166" s="693">
        <v>674</v>
      </c>
      <c r="D166" s="692">
        <v>877</v>
      </c>
      <c r="E166" s="692">
        <v>877</v>
      </c>
      <c r="F166" s="704"/>
      <c r="G166" s="704"/>
      <c r="H166" s="706"/>
      <c r="I166" s="653" t="s">
        <v>315</v>
      </c>
      <c r="J166" s="653" t="s">
        <v>314</v>
      </c>
      <c r="K166" s="654">
        <v>877</v>
      </c>
      <c r="L166" s="653">
        <f>ROUND(K166,0)</f>
        <v>877</v>
      </c>
    </row>
    <row r="167" ht="20.1" customHeight="1" spans="1:12">
      <c r="A167" s="688" t="s">
        <v>316</v>
      </c>
      <c r="B167" s="689"/>
      <c r="C167" s="693"/>
      <c r="D167" s="692">
        <v>60</v>
      </c>
      <c r="E167" s="692">
        <v>60</v>
      </c>
      <c r="F167" s="704"/>
      <c r="G167" s="704"/>
      <c r="H167" s="706"/>
      <c r="I167" s="653" t="s">
        <v>317</v>
      </c>
      <c r="J167" s="653" t="s">
        <v>316</v>
      </c>
      <c r="K167" s="654">
        <v>60</v>
      </c>
      <c r="L167" s="653">
        <f>ROUND(K167,0)</f>
        <v>60</v>
      </c>
    </row>
    <row r="168" ht="20.1" customHeight="1" spans="1:8">
      <c r="A168" s="682" t="s">
        <v>318</v>
      </c>
      <c r="B168" s="683">
        <f>SUM(B170:B170)</f>
        <v>7810</v>
      </c>
      <c r="C168" s="684">
        <f>SUM(C170:C170)</f>
        <v>5330</v>
      </c>
      <c r="D168" s="685">
        <f>SUM(D169:D170)</f>
        <v>12876</v>
      </c>
      <c r="E168" s="685">
        <f>SUM(E169:E170)</f>
        <v>12876</v>
      </c>
      <c r="F168" s="691"/>
      <c r="G168" s="691"/>
      <c r="H168" s="687"/>
    </row>
    <row r="169" ht="20.1" customHeight="1" spans="1:12">
      <c r="A169" s="688" t="s">
        <v>319</v>
      </c>
      <c r="B169" s="708"/>
      <c r="C169" s="703"/>
      <c r="D169" s="692">
        <v>3</v>
      </c>
      <c r="E169" s="692">
        <v>3</v>
      </c>
      <c r="F169" s="691"/>
      <c r="G169" s="691"/>
      <c r="H169" s="687"/>
      <c r="I169" s="653" t="s">
        <v>320</v>
      </c>
      <c r="J169" s="653" t="s">
        <v>319</v>
      </c>
      <c r="K169" s="654">
        <v>3</v>
      </c>
      <c r="L169" s="653">
        <f>ROUND(K169,0)</f>
        <v>3</v>
      </c>
    </row>
    <row r="170" ht="20.1" customHeight="1" spans="1:12">
      <c r="A170" s="688" t="s">
        <v>321</v>
      </c>
      <c r="B170" s="689">
        <v>7810</v>
      </c>
      <c r="C170" s="693">
        <v>5330</v>
      </c>
      <c r="D170" s="692">
        <v>12873</v>
      </c>
      <c r="E170" s="692">
        <v>12873</v>
      </c>
      <c r="F170" s="686"/>
      <c r="G170" s="686"/>
      <c r="H170" s="687"/>
      <c r="I170" s="653" t="s">
        <v>322</v>
      </c>
      <c r="J170" s="653" t="s">
        <v>321</v>
      </c>
      <c r="K170" s="654">
        <v>12873</v>
      </c>
      <c r="L170" s="653">
        <f>ROUND(K170,0)</f>
        <v>12873</v>
      </c>
    </row>
    <row r="171" ht="20.1" customHeight="1" spans="1:8">
      <c r="A171" s="682" t="s">
        <v>323</v>
      </c>
      <c r="B171" s="683">
        <f>SUM(B172)</f>
        <v>15243</v>
      </c>
      <c r="C171" s="684">
        <f>SUM(C172)</f>
        <v>14878</v>
      </c>
      <c r="D171" s="685">
        <f>SUM(D172)</f>
        <v>20421</v>
      </c>
      <c r="E171" s="685">
        <f>SUM(E172)</f>
        <v>20421</v>
      </c>
      <c r="F171" s="691"/>
      <c r="G171" s="691"/>
      <c r="H171" s="687"/>
    </row>
    <row r="172" ht="20.1" customHeight="1" spans="1:12">
      <c r="A172" s="688" t="s">
        <v>324</v>
      </c>
      <c r="B172" s="702">
        <v>15243</v>
      </c>
      <c r="C172" s="693">
        <v>14878</v>
      </c>
      <c r="D172" s="692">
        <v>20421</v>
      </c>
      <c r="E172" s="692">
        <v>20421</v>
      </c>
      <c r="F172" s="691"/>
      <c r="G172" s="691"/>
      <c r="H172" s="687"/>
      <c r="I172" s="653" t="s">
        <v>325</v>
      </c>
      <c r="J172" s="653" t="s">
        <v>324</v>
      </c>
      <c r="K172" s="654">
        <v>20421</v>
      </c>
      <c r="L172" s="653">
        <f>ROUND(K172,0)</f>
        <v>20421</v>
      </c>
    </row>
    <row r="173" ht="20.1" customHeight="1" spans="1:12">
      <c r="A173" s="676" t="s">
        <v>326</v>
      </c>
      <c r="B173" s="677">
        <f>B174+B177+B181+B183+B189</f>
        <v>18890</v>
      </c>
      <c r="C173" s="678">
        <f>C174+C177+C181+C183+C189</f>
        <v>17735</v>
      </c>
      <c r="D173" s="679">
        <f>D174+D177+D181+D183+D189+D187</f>
        <v>21560</v>
      </c>
      <c r="E173" s="679">
        <f>E174+E177+E181+E183+E189+E187</f>
        <v>21560</v>
      </c>
      <c r="F173" s="704">
        <f>E173/D173*100</f>
        <v>100</v>
      </c>
      <c r="G173" s="704">
        <f>(E173/B173-1)*100</f>
        <v>14.134462678666</v>
      </c>
      <c r="H173" s="681"/>
      <c r="I173" s="697"/>
      <c r="J173" s="697"/>
      <c r="K173" s="698"/>
      <c r="L173" s="697"/>
    </row>
    <row r="174" ht="20.1" customHeight="1" spans="1:8">
      <c r="A174" s="682" t="s">
        <v>327</v>
      </c>
      <c r="B174" s="683">
        <f>SUM(B175:B176)</f>
        <v>248</v>
      </c>
      <c r="C174" s="684">
        <f>SUM(C175:C176)</f>
        <v>197</v>
      </c>
      <c r="D174" s="685">
        <f>SUM(D175:D176)</f>
        <v>223</v>
      </c>
      <c r="E174" s="685">
        <f>SUM(E175:E176)</f>
        <v>223</v>
      </c>
      <c r="F174" s="686"/>
      <c r="G174" s="686"/>
      <c r="H174" s="687"/>
    </row>
    <row r="175" ht="20.1" customHeight="1" spans="1:12">
      <c r="A175" s="688" t="s">
        <v>91</v>
      </c>
      <c r="B175" s="689">
        <v>161</v>
      </c>
      <c r="C175" s="140">
        <v>127</v>
      </c>
      <c r="D175" s="692">
        <v>147</v>
      </c>
      <c r="E175" s="692">
        <v>147</v>
      </c>
      <c r="F175" s="691"/>
      <c r="G175" s="691"/>
      <c r="H175" s="687"/>
      <c r="I175" s="653" t="s">
        <v>328</v>
      </c>
      <c r="J175" s="653" t="s">
        <v>91</v>
      </c>
      <c r="K175" s="654">
        <v>147</v>
      </c>
      <c r="L175" s="653">
        <f>ROUND(K175,0)</f>
        <v>147</v>
      </c>
    </row>
    <row r="176" ht="20.1" customHeight="1" spans="1:12">
      <c r="A176" s="688" t="s">
        <v>93</v>
      </c>
      <c r="B176" s="689">
        <v>87</v>
      </c>
      <c r="C176" s="140">
        <v>70</v>
      </c>
      <c r="D176" s="692">
        <v>76</v>
      </c>
      <c r="E176" s="692">
        <v>76</v>
      </c>
      <c r="F176" s="686"/>
      <c r="G176" s="686"/>
      <c r="H176" s="687"/>
      <c r="I176" s="653" t="s">
        <v>329</v>
      </c>
      <c r="J176" s="653" t="s">
        <v>93</v>
      </c>
      <c r="K176" s="654">
        <v>76</v>
      </c>
      <c r="L176" s="653">
        <f>ROUND(K176,0)</f>
        <v>76</v>
      </c>
    </row>
    <row r="177" ht="20.1" customHeight="1" spans="1:8">
      <c r="A177" s="682" t="s">
        <v>330</v>
      </c>
      <c r="B177" s="683">
        <f>SUM(B178:B180)</f>
        <v>3956</v>
      </c>
      <c r="C177" s="684">
        <f>SUM(C178:C180)</f>
        <v>6767</v>
      </c>
      <c r="D177" s="684">
        <f>SUM(D178:D180)</f>
        <v>8644</v>
      </c>
      <c r="E177" s="684">
        <f>SUM(E178:E180)</f>
        <v>8644</v>
      </c>
      <c r="F177" s="686"/>
      <c r="G177" s="686"/>
      <c r="H177" s="687"/>
    </row>
    <row r="178" ht="20.1" customHeight="1" spans="1:12">
      <c r="A178" s="714" t="s">
        <v>331</v>
      </c>
      <c r="B178" s="689">
        <v>191</v>
      </c>
      <c r="C178" s="140">
        <v>221</v>
      </c>
      <c r="D178" s="692">
        <v>240</v>
      </c>
      <c r="E178" s="692">
        <v>240</v>
      </c>
      <c r="F178" s="686"/>
      <c r="G178" s="686"/>
      <c r="H178" s="687"/>
      <c r="I178" s="653" t="s">
        <v>332</v>
      </c>
      <c r="J178" s="653" t="s">
        <v>333</v>
      </c>
      <c r="K178" s="654">
        <v>240</v>
      </c>
      <c r="L178" s="653">
        <f>ROUND(K178,0)</f>
        <v>240</v>
      </c>
    </row>
    <row r="179" ht="20.1" customHeight="1" spans="1:12">
      <c r="A179" s="688" t="s">
        <v>334</v>
      </c>
      <c r="B179" s="689">
        <v>3595</v>
      </c>
      <c r="C179" s="140">
        <v>6546</v>
      </c>
      <c r="D179" s="692">
        <v>6547</v>
      </c>
      <c r="E179" s="692">
        <v>6547</v>
      </c>
      <c r="F179" s="686"/>
      <c r="G179" s="686"/>
      <c r="H179" s="687"/>
      <c r="I179" s="653" t="s">
        <v>335</v>
      </c>
      <c r="J179" s="653" t="s">
        <v>334</v>
      </c>
      <c r="K179" s="654">
        <v>6547</v>
      </c>
      <c r="L179" s="653">
        <f>ROUND(K179,0)</f>
        <v>6547</v>
      </c>
    </row>
    <row r="180" ht="20.1" customHeight="1" spans="1:12">
      <c r="A180" s="688" t="s">
        <v>336</v>
      </c>
      <c r="B180" s="689">
        <v>170</v>
      </c>
      <c r="C180" s="693"/>
      <c r="D180" s="692">
        <v>1857</v>
      </c>
      <c r="E180" s="692">
        <v>1857</v>
      </c>
      <c r="F180" s="691"/>
      <c r="G180" s="691"/>
      <c r="H180" s="687"/>
      <c r="I180" s="653" t="s">
        <v>337</v>
      </c>
      <c r="J180" s="653" t="s">
        <v>336</v>
      </c>
      <c r="K180" s="654">
        <v>1857</v>
      </c>
      <c r="L180" s="653">
        <f>ROUND(K180,0)</f>
        <v>1857</v>
      </c>
    </row>
    <row r="181" ht="20.1" customHeight="1" spans="1:8">
      <c r="A181" s="682" t="s">
        <v>338</v>
      </c>
      <c r="B181" s="683">
        <f>SUM(B182)</f>
        <v>115</v>
      </c>
      <c r="C181" s="715">
        <f>SUM(C182)</f>
        <v>170</v>
      </c>
      <c r="D181" s="685">
        <f>SUM(D182)</f>
        <v>170</v>
      </c>
      <c r="E181" s="685">
        <v>170</v>
      </c>
      <c r="F181" s="704"/>
      <c r="G181" s="704"/>
      <c r="H181" s="706"/>
    </row>
    <row r="182" ht="20.1" customHeight="1" spans="1:12">
      <c r="A182" s="688" t="s">
        <v>339</v>
      </c>
      <c r="B182" s="689">
        <v>115</v>
      </c>
      <c r="C182" s="140">
        <v>170</v>
      </c>
      <c r="D182" s="692">
        <v>170</v>
      </c>
      <c r="E182" s="692">
        <v>170</v>
      </c>
      <c r="F182" s="691"/>
      <c r="G182" s="704"/>
      <c r="H182" s="687"/>
      <c r="I182" s="653" t="s">
        <v>340</v>
      </c>
      <c r="J182" s="653" t="s">
        <v>339</v>
      </c>
      <c r="K182" s="654">
        <v>170</v>
      </c>
      <c r="L182" s="653">
        <f>ROUND(K182,0)</f>
        <v>170</v>
      </c>
    </row>
    <row r="183" ht="20.1" customHeight="1" spans="1:8">
      <c r="A183" s="682" t="s">
        <v>341</v>
      </c>
      <c r="B183" s="683">
        <f>SUM(B184:B185)</f>
        <v>571</v>
      </c>
      <c r="C183" s="684">
        <f>SUM(C184:C185)</f>
        <v>601</v>
      </c>
      <c r="D183" s="685">
        <f>SUM(D184:D186)</f>
        <v>603</v>
      </c>
      <c r="E183" s="685">
        <f>SUM(E184:E186)</f>
        <v>603</v>
      </c>
      <c r="F183" s="686"/>
      <c r="G183" s="686"/>
      <c r="H183" s="687"/>
    </row>
    <row r="184" ht="20.1" customHeight="1" spans="1:12">
      <c r="A184" s="688" t="s">
        <v>333</v>
      </c>
      <c r="B184" s="689">
        <v>207</v>
      </c>
      <c r="C184" s="140">
        <v>234</v>
      </c>
      <c r="D184" s="692">
        <v>229</v>
      </c>
      <c r="E184" s="692">
        <v>229</v>
      </c>
      <c r="F184" s="691"/>
      <c r="G184" s="691"/>
      <c r="H184" s="687"/>
      <c r="I184" s="653" t="s">
        <v>342</v>
      </c>
      <c r="J184" s="653" t="s">
        <v>333</v>
      </c>
      <c r="K184" s="654">
        <v>229</v>
      </c>
      <c r="L184" s="653">
        <f>ROUND(K184,0)</f>
        <v>229</v>
      </c>
    </row>
    <row r="185" ht="20.1" customHeight="1" spans="1:12">
      <c r="A185" s="688" t="s">
        <v>343</v>
      </c>
      <c r="B185" s="689">
        <v>364</v>
      </c>
      <c r="C185" s="140">
        <v>367</v>
      </c>
      <c r="D185" s="692">
        <v>369</v>
      </c>
      <c r="E185" s="692">
        <v>369</v>
      </c>
      <c r="F185" s="691"/>
      <c r="G185" s="691"/>
      <c r="H185" s="687"/>
      <c r="I185" s="653" t="s">
        <v>344</v>
      </c>
      <c r="J185" s="653" t="s">
        <v>343</v>
      </c>
      <c r="K185" s="654">
        <v>369</v>
      </c>
      <c r="L185" s="653">
        <f>ROUND(K185,0)</f>
        <v>369</v>
      </c>
    </row>
    <row r="186" ht="20.1" customHeight="1" spans="1:12">
      <c r="A186" s="688" t="s">
        <v>345</v>
      </c>
      <c r="B186" s="689"/>
      <c r="C186" s="140"/>
      <c r="D186" s="692">
        <v>5</v>
      </c>
      <c r="E186" s="692">
        <v>5</v>
      </c>
      <c r="F186" s="691"/>
      <c r="G186" s="691"/>
      <c r="H186" s="687"/>
      <c r="I186" s="653" t="s">
        <v>346</v>
      </c>
      <c r="J186" s="653" t="s">
        <v>345</v>
      </c>
      <c r="K186" s="654">
        <v>5</v>
      </c>
      <c r="L186" s="653">
        <f>ROUND(K186,0)</f>
        <v>5</v>
      </c>
    </row>
    <row r="187" ht="20.1" customHeight="1" spans="1:8">
      <c r="A187" s="682" t="s">
        <v>347</v>
      </c>
      <c r="B187" s="682">
        <f>B188</f>
        <v>0</v>
      </c>
      <c r="C187" s="682">
        <f>C188</f>
        <v>0</v>
      </c>
      <c r="D187" s="685">
        <f>D188</f>
        <v>1800</v>
      </c>
      <c r="E187" s="685">
        <v>1800</v>
      </c>
      <c r="F187" s="691"/>
      <c r="G187" s="691"/>
      <c r="H187" s="687"/>
    </row>
    <row r="188" ht="20.1" customHeight="1" spans="1:12">
      <c r="A188" s="688" t="s">
        <v>348</v>
      </c>
      <c r="B188" s="689"/>
      <c r="C188" s="140"/>
      <c r="D188" s="692">
        <v>1800</v>
      </c>
      <c r="E188" s="692">
        <v>1800</v>
      </c>
      <c r="F188" s="691"/>
      <c r="G188" s="691"/>
      <c r="H188" s="687"/>
      <c r="I188" s="653" t="s">
        <v>349</v>
      </c>
      <c r="J188" s="653" t="s">
        <v>348</v>
      </c>
      <c r="K188" s="654">
        <v>1800</v>
      </c>
      <c r="L188" s="653">
        <f>ROUND(K188,0)</f>
        <v>1800</v>
      </c>
    </row>
    <row r="189" ht="20.1" customHeight="1" spans="1:8">
      <c r="A189" s="682" t="s">
        <v>350</v>
      </c>
      <c r="B189" s="683">
        <f>SUM(B190)</f>
        <v>14000</v>
      </c>
      <c r="C189" s="684">
        <f>SUM(C190)</f>
        <v>10000</v>
      </c>
      <c r="D189" s="685">
        <f>SUM(D190)</f>
        <v>10120</v>
      </c>
      <c r="E189" s="685">
        <f>SUM(E190)</f>
        <v>10120</v>
      </c>
      <c r="F189" s="691"/>
      <c r="G189" s="691"/>
      <c r="H189" s="687"/>
    </row>
    <row r="190" ht="20.1" customHeight="1" spans="1:12">
      <c r="A190" s="688" t="s">
        <v>351</v>
      </c>
      <c r="B190" s="696">
        <v>14000</v>
      </c>
      <c r="C190" s="693">
        <v>10000</v>
      </c>
      <c r="D190" s="692">
        <v>10120</v>
      </c>
      <c r="E190" s="692">
        <v>10120</v>
      </c>
      <c r="F190" s="686"/>
      <c r="G190" s="686"/>
      <c r="H190" s="687"/>
      <c r="I190" s="653" t="s">
        <v>352</v>
      </c>
      <c r="J190" s="653" t="s">
        <v>351</v>
      </c>
      <c r="K190" s="654">
        <v>10120</v>
      </c>
      <c r="L190" s="653">
        <f>ROUND(K190,0)</f>
        <v>10120</v>
      </c>
    </row>
    <row r="191" ht="42" customHeight="1" spans="1:12">
      <c r="A191" s="676" t="s">
        <v>353</v>
      </c>
      <c r="B191" s="677">
        <f>B192+B206+B211+B216+B221</f>
        <v>7128</v>
      </c>
      <c r="C191" s="678">
        <f>C192+C206+C211+C216+C221</f>
        <v>8327</v>
      </c>
      <c r="D191" s="679">
        <f>D192+D206+D211+D216+D221</f>
        <v>14080</v>
      </c>
      <c r="E191" s="679">
        <f>E192+E206+E211+E216+E221</f>
        <v>14080</v>
      </c>
      <c r="F191" s="704">
        <f>E191/D191*100</f>
        <v>100</v>
      </c>
      <c r="G191" s="704">
        <f>(E191/B191-1)*100</f>
        <v>97.5308641975309</v>
      </c>
      <c r="H191" s="712" t="s">
        <v>354</v>
      </c>
      <c r="I191" s="697"/>
      <c r="J191" s="697"/>
      <c r="K191" s="698"/>
      <c r="L191" s="697"/>
    </row>
    <row r="192" ht="35.1" customHeight="1" spans="1:8">
      <c r="A192" s="682" t="s">
        <v>355</v>
      </c>
      <c r="B192" s="683">
        <f>SUM(B193:B205)</f>
        <v>3597</v>
      </c>
      <c r="C192" s="684">
        <f>SUM(C193:C205)</f>
        <v>2432</v>
      </c>
      <c r="D192" s="685">
        <f>SUM(D193:D205)</f>
        <v>4952</v>
      </c>
      <c r="E192" s="685">
        <f>SUM(E193:E205)</f>
        <v>4952</v>
      </c>
      <c r="F192" s="691"/>
      <c r="G192" s="691"/>
      <c r="H192" s="687"/>
    </row>
    <row r="193" ht="20.1" customHeight="1" spans="1:12">
      <c r="A193" s="688" t="s">
        <v>91</v>
      </c>
      <c r="B193" s="689">
        <v>500</v>
      </c>
      <c r="C193" s="140">
        <v>528</v>
      </c>
      <c r="D193" s="692">
        <v>582</v>
      </c>
      <c r="E193" s="692">
        <v>582</v>
      </c>
      <c r="F193" s="691"/>
      <c r="G193" s="691"/>
      <c r="H193" s="687"/>
      <c r="I193" s="653" t="s">
        <v>356</v>
      </c>
      <c r="J193" s="653" t="s">
        <v>91</v>
      </c>
      <c r="K193" s="654">
        <v>582</v>
      </c>
      <c r="L193" s="653">
        <f t="shared" ref="L193:L203" si="4">ROUND(K193,0)</f>
        <v>582</v>
      </c>
    </row>
    <row r="194" ht="20.1" customHeight="1" spans="1:12">
      <c r="A194" s="688" t="s">
        <v>93</v>
      </c>
      <c r="B194" s="689">
        <v>11</v>
      </c>
      <c r="C194" s="140">
        <v>140</v>
      </c>
      <c r="D194" s="692">
        <v>281</v>
      </c>
      <c r="E194" s="692">
        <v>281</v>
      </c>
      <c r="F194" s="691"/>
      <c r="G194" s="691"/>
      <c r="H194" s="687"/>
      <c r="I194" s="653" t="s">
        <v>357</v>
      </c>
      <c r="J194" s="653" t="s">
        <v>93</v>
      </c>
      <c r="K194" s="654">
        <v>281</v>
      </c>
      <c r="L194" s="653">
        <f t="shared" si="4"/>
        <v>281</v>
      </c>
    </row>
    <row r="195" ht="20.1" customHeight="1" spans="1:12">
      <c r="A195" s="688" t="s">
        <v>358</v>
      </c>
      <c r="B195" s="689">
        <v>581</v>
      </c>
      <c r="C195" s="140">
        <v>523</v>
      </c>
      <c r="D195" s="692">
        <v>635</v>
      </c>
      <c r="E195" s="692">
        <v>635</v>
      </c>
      <c r="F195" s="691"/>
      <c r="G195" s="691"/>
      <c r="H195" s="687"/>
      <c r="I195" s="653" t="s">
        <v>359</v>
      </c>
      <c r="J195" s="653" t="s">
        <v>358</v>
      </c>
      <c r="K195" s="654">
        <v>635</v>
      </c>
      <c r="L195" s="653">
        <f t="shared" si="4"/>
        <v>635</v>
      </c>
    </row>
    <row r="196" ht="20.1" customHeight="1" spans="1:12">
      <c r="A196" s="688" t="s">
        <v>360</v>
      </c>
      <c r="B196" s="689">
        <v>45</v>
      </c>
      <c r="C196" s="140"/>
      <c r="D196" s="692">
        <v>15</v>
      </c>
      <c r="E196" s="692">
        <v>15</v>
      </c>
      <c r="F196" s="691"/>
      <c r="G196" s="691"/>
      <c r="H196" s="687"/>
      <c r="I196" s="653" t="s">
        <v>361</v>
      </c>
      <c r="J196" s="653" t="s">
        <v>360</v>
      </c>
      <c r="K196" s="654">
        <v>15</v>
      </c>
      <c r="L196" s="653">
        <f t="shared" si="4"/>
        <v>15</v>
      </c>
    </row>
    <row r="197" ht="20.1" customHeight="1" spans="1:12">
      <c r="A197" s="544" t="s">
        <v>362</v>
      </c>
      <c r="B197" s="689">
        <v>74</v>
      </c>
      <c r="C197" s="140"/>
      <c r="D197" s="692">
        <v>11</v>
      </c>
      <c r="E197" s="692">
        <v>11</v>
      </c>
      <c r="F197" s="691"/>
      <c r="G197" s="691"/>
      <c r="H197" s="687"/>
      <c r="I197" s="653" t="s">
        <v>363</v>
      </c>
      <c r="J197" s="653" t="s">
        <v>362</v>
      </c>
      <c r="K197" s="654">
        <v>11</v>
      </c>
      <c r="L197" s="653">
        <f t="shared" si="4"/>
        <v>11</v>
      </c>
    </row>
    <row r="198" ht="20.1" customHeight="1" spans="1:12">
      <c r="A198" s="688" t="s">
        <v>364</v>
      </c>
      <c r="B198" s="689">
        <v>649</v>
      </c>
      <c r="C198" s="140">
        <v>194</v>
      </c>
      <c r="D198" s="692">
        <v>738</v>
      </c>
      <c r="E198" s="692">
        <v>738</v>
      </c>
      <c r="F198" s="691"/>
      <c r="G198" s="691"/>
      <c r="H198" s="687"/>
      <c r="I198" s="653" t="s">
        <v>365</v>
      </c>
      <c r="J198" s="653" t="s">
        <v>364</v>
      </c>
      <c r="K198" s="654">
        <v>738</v>
      </c>
      <c r="L198" s="653">
        <f t="shared" si="4"/>
        <v>738</v>
      </c>
    </row>
    <row r="199" ht="20.1" customHeight="1" spans="1:12">
      <c r="A199" s="688" t="s">
        <v>366</v>
      </c>
      <c r="B199" s="689">
        <v>535</v>
      </c>
      <c r="C199" s="140">
        <v>414</v>
      </c>
      <c r="D199" s="692">
        <v>1171</v>
      </c>
      <c r="E199" s="692">
        <v>1171</v>
      </c>
      <c r="F199" s="686"/>
      <c r="G199" s="686"/>
      <c r="H199" s="687"/>
      <c r="I199" s="653" t="s">
        <v>367</v>
      </c>
      <c r="J199" s="653" t="s">
        <v>366</v>
      </c>
      <c r="K199" s="654">
        <v>1171</v>
      </c>
      <c r="L199" s="653">
        <f t="shared" si="4"/>
        <v>1171</v>
      </c>
    </row>
    <row r="200" ht="20.1" customHeight="1" spans="1:12">
      <c r="A200" s="688" t="s">
        <v>368</v>
      </c>
      <c r="B200" s="689">
        <v>10</v>
      </c>
      <c r="C200" s="140"/>
      <c r="D200" s="692">
        <v>550</v>
      </c>
      <c r="E200" s="692">
        <v>550</v>
      </c>
      <c r="F200" s="691"/>
      <c r="G200" s="686"/>
      <c r="H200" s="687"/>
      <c r="I200" s="653" t="s">
        <v>369</v>
      </c>
      <c r="J200" s="653" t="s">
        <v>368</v>
      </c>
      <c r="K200" s="654">
        <v>550</v>
      </c>
      <c r="L200" s="653">
        <f t="shared" si="4"/>
        <v>550</v>
      </c>
    </row>
    <row r="201" ht="20.1" customHeight="1" spans="1:12">
      <c r="A201" s="688" t="s">
        <v>370</v>
      </c>
      <c r="B201" s="689">
        <v>126</v>
      </c>
      <c r="C201" s="140">
        <v>0</v>
      </c>
      <c r="D201" s="692">
        <v>99</v>
      </c>
      <c r="E201" s="692">
        <v>99</v>
      </c>
      <c r="F201" s="691"/>
      <c r="G201" s="691"/>
      <c r="H201" s="687"/>
      <c r="I201" s="653" t="s">
        <v>371</v>
      </c>
      <c r="J201" s="653" t="s">
        <v>370</v>
      </c>
      <c r="K201" s="654">
        <v>99</v>
      </c>
      <c r="L201" s="653">
        <f t="shared" si="4"/>
        <v>99</v>
      </c>
    </row>
    <row r="202" ht="20.1" customHeight="1" spans="1:12">
      <c r="A202" s="688" t="s">
        <v>372</v>
      </c>
      <c r="B202" s="689">
        <v>19</v>
      </c>
      <c r="C202" s="140"/>
      <c r="D202" s="692">
        <v>22</v>
      </c>
      <c r="E202" s="692">
        <v>22</v>
      </c>
      <c r="F202" s="686"/>
      <c r="G202" s="686"/>
      <c r="H202" s="687"/>
      <c r="I202" s="653" t="s">
        <v>373</v>
      </c>
      <c r="J202" s="653" t="s">
        <v>372</v>
      </c>
      <c r="K202" s="654">
        <v>22</v>
      </c>
      <c r="L202" s="653">
        <f t="shared" si="4"/>
        <v>22</v>
      </c>
    </row>
    <row r="203" ht="20.1" customHeight="1" spans="1:12">
      <c r="A203" s="688" t="s">
        <v>374</v>
      </c>
      <c r="B203" s="696">
        <v>33</v>
      </c>
      <c r="C203" s="140"/>
      <c r="D203" s="692">
        <v>12</v>
      </c>
      <c r="E203" s="692">
        <v>12</v>
      </c>
      <c r="F203" s="691"/>
      <c r="G203" s="691"/>
      <c r="H203" s="687"/>
      <c r="I203" s="653" t="s">
        <v>375</v>
      </c>
      <c r="J203" s="653" t="s">
        <v>374</v>
      </c>
      <c r="K203" s="654">
        <v>12</v>
      </c>
      <c r="L203" s="653">
        <f t="shared" si="4"/>
        <v>12</v>
      </c>
    </row>
    <row r="204" ht="20.1" customHeight="1" spans="1:8">
      <c r="A204" s="688" t="s">
        <v>376</v>
      </c>
      <c r="B204" s="689">
        <v>10</v>
      </c>
      <c r="C204" s="140"/>
      <c r="D204" s="692"/>
      <c r="E204" s="692"/>
      <c r="F204" s="691"/>
      <c r="G204" s="691"/>
      <c r="H204" s="687"/>
    </row>
    <row r="205" ht="20.1" customHeight="1" spans="1:12">
      <c r="A205" s="688" t="s">
        <v>377</v>
      </c>
      <c r="B205" s="689">
        <v>1004</v>
      </c>
      <c r="C205" s="140">
        <v>633</v>
      </c>
      <c r="D205" s="692">
        <v>836</v>
      </c>
      <c r="E205" s="692">
        <v>836</v>
      </c>
      <c r="F205" s="691"/>
      <c r="G205" s="691"/>
      <c r="H205" s="687"/>
      <c r="I205" s="653" t="s">
        <v>378</v>
      </c>
      <c r="J205" s="653" t="s">
        <v>377</v>
      </c>
      <c r="K205" s="654">
        <v>836</v>
      </c>
      <c r="L205" s="653">
        <f>ROUND(K205,0)</f>
        <v>836</v>
      </c>
    </row>
    <row r="206" ht="20.1" customHeight="1" spans="1:8">
      <c r="A206" s="682" t="s">
        <v>379</v>
      </c>
      <c r="B206" s="683">
        <f>SUM(B207:B210)</f>
        <v>1025</v>
      </c>
      <c r="C206" s="684">
        <f>SUM(C207:C210)</f>
        <v>947</v>
      </c>
      <c r="D206" s="685">
        <f>SUM(D207:D210)</f>
        <v>2473</v>
      </c>
      <c r="E206" s="685">
        <f>SUM(E207:E210)</f>
        <v>2473</v>
      </c>
      <c r="F206" s="691"/>
      <c r="G206" s="691"/>
      <c r="H206" s="687"/>
    </row>
    <row r="207" ht="19.5" customHeight="1" spans="1:12">
      <c r="A207" s="688" t="s">
        <v>380</v>
      </c>
      <c r="B207" s="689">
        <v>349</v>
      </c>
      <c r="C207" s="140">
        <v>386</v>
      </c>
      <c r="D207" s="692">
        <v>1671</v>
      </c>
      <c r="E207" s="692">
        <v>1671</v>
      </c>
      <c r="F207" s="686"/>
      <c r="G207" s="686"/>
      <c r="H207" s="687"/>
      <c r="I207" s="653" t="s">
        <v>381</v>
      </c>
      <c r="J207" s="653" t="s">
        <v>380</v>
      </c>
      <c r="K207" s="654">
        <v>1671</v>
      </c>
      <c r="L207" s="653">
        <f>ROUND(K207,0)</f>
        <v>1671</v>
      </c>
    </row>
    <row r="208" ht="20.1" customHeight="1" spans="1:12">
      <c r="A208" s="688" t="s">
        <v>382</v>
      </c>
      <c r="B208" s="689">
        <v>629</v>
      </c>
      <c r="C208" s="140">
        <v>561</v>
      </c>
      <c r="D208" s="692">
        <v>739</v>
      </c>
      <c r="E208" s="692">
        <v>739</v>
      </c>
      <c r="F208" s="686"/>
      <c r="G208" s="686"/>
      <c r="H208" s="687"/>
      <c r="I208" s="653" t="s">
        <v>383</v>
      </c>
      <c r="J208" s="653" t="s">
        <v>382</v>
      </c>
      <c r="K208" s="654">
        <v>739</v>
      </c>
      <c r="L208" s="653">
        <f>ROUND(K208,0)</f>
        <v>739</v>
      </c>
    </row>
    <row r="209" ht="20.1" customHeight="1" spans="1:12">
      <c r="A209" s="688" t="s">
        <v>384</v>
      </c>
      <c r="B209" s="689"/>
      <c r="C209" s="140"/>
      <c r="D209" s="692">
        <v>50</v>
      </c>
      <c r="E209" s="692">
        <v>50</v>
      </c>
      <c r="F209" s="686"/>
      <c r="G209" s="686"/>
      <c r="H209" s="687"/>
      <c r="I209" s="653" t="s">
        <v>385</v>
      </c>
      <c r="J209" s="653" t="s">
        <v>384</v>
      </c>
      <c r="K209" s="654">
        <v>50</v>
      </c>
      <c r="L209" s="653">
        <f>ROUND(K209,0)</f>
        <v>50</v>
      </c>
    </row>
    <row r="210" ht="20.1" customHeight="1" spans="1:12">
      <c r="A210" s="688" t="s">
        <v>386</v>
      </c>
      <c r="B210" s="689">
        <v>47</v>
      </c>
      <c r="C210" s="703"/>
      <c r="D210" s="692">
        <v>13</v>
      </c>
      <c r="E210" s="692">
        <v>13</v>
      </c>
      <c r="F210" s="691"/>
      <c r="G210" s="691"/>
      <c r="H210" s="687"/>
      <c r="I210" s="653" t="s">
        <v>387</v>
      </c>
      <c r="J210" s="653" t="s">
        <v>386</v>
      </c>
      <c r="K210" s="654">
        <v>13</v>
      </c>
      <c r="L210" s="653">
        <f>ROUND(K210,0)</f>
        <v>13</v>
      </c>
    </row>
    <row r="211" ht="20.1" customHeight="1" spans="1:8">
      <c r="A211" s="682" t="s">
        <v>388</v>
      </c>
      <c r="B211" s="683">
        <f>SUM(B212:B215)</f>
        <v>1344</v>
      </c>
      <c r="C211" s="684">
        <f>SUM(C212:C215)</f>
        <v>567</v>
      </c>
      <c r="D211" s="685">
        <f>SUM(D212:D215)</f>
        <v>1249</v>
      </c>
      <c r="E211" s="685">
        <f>SUM(E212:E215)</f>
        <v>1249</v>
      </c>
      <c r="F211" s="691"/>
      <c r="G211" s="691"/>
      <c r="H211" s="687"/>
    </row>
    <row r="212" ht="20.1" customHeight="1" spans="1:12">
      <c r="A212" s="688" t="s">
        <v>389</v>
      </c>
      <c r="B212" s="689">
        <v>212</v>
      </c>
      <c r="C212" s="693"/>
      <c r="D212" s="692">
        <v>67</v>
      </c>
      <c r="E212" s="692">
        <v>67</v>
      </c>
      <c r="F212" s="691"/>
      <c r="G212" s="691"/>
      <c r="H212" s="687"/>
      <c r="I212" s="653" t="s">
        <v>390</v>
      </c>
      <c r="J212" s="653" t="s">
        <v>389</v>
      </c>
      <c r="K212" s="654">
        <v>67</v>
      </c>
      <c r="L212" s="653">
        <f>ROUND(K212,0)</f>
        <v>67</v>
      </c>
    </row>
    <row r="213" ht="20.1" customHeight="1" spans="1:12">
      <c r="A213" s="688" t="s">
        <v>391</v>
      </c>
      <c r="B213" s="689">
        <v>610</v>
      </c>
      <c r="C213" s="140"/>
      <c r="D213" s="692">
        <v>496</v>
      </c>
      <c r="E213" s="692">
        <v>496</v>
      </c>
      <c r="F213" s="686"/>
      <c r="G213" s="686"/>
      <c r="H213" s="687"/>
      <c r="I213" s="653" t="s">
        <v>392</v>
      </c>
      <c r="J213" s="653" t="s">
        <v>391</v>
      </c>
      <c r="K213" s="654">
        <v>496</v>
      </c>
      <c r="L213" s="653">
        <f>ROUND(K213,0)</f>
        <v>496</v>
      </c>
    </row>
    <row r="214" ht="20.1" customHeight="1" spans="1:12">
      <c r="A214" s="688" t="s">
        <v>393</v>
      </c>
      <c r="B214" s="689">
        <v>216</v>
      </c>
      <c r="C214" s="140">
        <v>248</v>
      </c>
      <c r="D214" s="692">
        <v>269</v>
      </c>
      <c r="E214" s="692">
        <v>269</v>
      </c>
      <c r="F214" s="686"/>
      <c r="G214" s="686"/>
      <c r="H214" s="687"/>
      <c r="I214" s="653" t="s">
        <v>394</v>
      </c>
      <c r="J214" s="653" t="s">
        <v>393</v>
      </c>
      <c r="K214" s="654">
        <v>269</v>
      </c>
      <c r="L214" s="653">
        <f>ROUND(K214,0)</f>
        <v>269</v>
      </c>
    </row>
    <row r="215" ht="20.1" customHeight="1" spans="1:12">
      <c r="A215" s="688" t="s">
        <v>395</v>
      </c>
      <c r="B215" s="689">
        <v>306</v>
      </c>
      <c r="C215" s="140">
        <v>319</v>
      </c>
      <c r="D215" s="692">
        <v>417</v>
      </c>
      <c r="E215" s="692">
        <v>417</v>
      </c>
      <c r="F215" s="691"/>
      <c r="G215" s="691"/>
      <c r="H215" s="687"/>
      <c r="I215" s="653" t="s">
        <v>396</v>
      </c>
      <c r="J215" s="653" t="s">
        <v>395</v>
      </c>
      <c r="K215" s="654">
        <v>417</v>
      </c>
      <c r="L215" s="653">
        <f>ROUND(K215,0)</f>
        <v>417</v>
      </c>
    </row>
    <row r="216" ht="20.1" customHeight="1" spans="1:8">
      <c r="A216" s="682" t="s">
        <v>397</v>
      </c>
      <c r="B216" s="683">
        <f>SUM(B217:B220)</f>
        <v>1112</v>
      </c>
      <c r="C216" s="684">
        <f>SUM(C217:C220)</f>
        <v>1381</v>
      </c>
      <c r="D216" s="684">
        <f>SUM(D217:D220)</f>
        <v>1889</v>
      </c>
      <c r="E216" s="684">
        <f>SUM(E217:E220)</f>
        <v>1889</v>
      </c>
      <c r="F216" s="691"/>
      <c r="G216" s="691"/>
      <c r="H216" s="687"/>
    </row>
    <row r="217" spans="1:8">
      <c r="A217" s="688" t="s">
        <v>91</v>
      </c>
      <c r="B217" s="689">
        <v>10</v>
      </c>
      <c r="C217" s="140"/>
      <c r="D217" s="692"/>
      <c r="E217" s="692"/>
      <c r="F217" s="686"/>
      <c r="G217" s="686"/>
      <c r="H217" s="687"/>
    </row>
    <row r="218" ht="20.1" customHeight="1" spans="1:12">
      <c r="A218" s="688" t="s">
        <v>93</v>
      </c>
      <c r="B218" s="689">
        <v>315</v>
      </c>
      <c r="C218" s="140">
        <v>258</v>
      </c>
      <c r="D218" s="692">
        <v>281</v>
      </c>
      <c r="E218" s="692">
        <v>281</v>
      </c>
      <c r="F218" s="691"/>
      <c r="G218" s="691"/>
      <c r="H218" s="687"/>
      <c r="I218" s="653" t="s">
        <v>398</v>
      </c>
      <c r="J218" s="653" t="s">
        <v>93</v>
      </c>
      <c r="K218" s="654">
        <v>281</v>
      </c>
      <c r="L218" s="653">
        <f>ROUND(K218,0)</f>
        <v>281</v>
      </c>
    </row>
    <row r="219" ht="20.1" customHeight="1" spans="1:12">
      <c r="A219" s="716" t="s">
        <v>399</v>
      </c>
      <c r="B219" s="689">
        <v>187</v>
      </c>
      <c r="C219" s="140">
        <v>392</v>
      </c>
      <c r="D219" s="692">
        <v>588</v>
      </c>
      <c r="E219" s="692">
        <v>588</v>
      </c>
      <c r="F219" s="686"/>
      <c r="G219" s="686"/>
      <c r="H219" s="687"/>
      <c r="I219" s="653" t="s">
        <v>400</v>
      </c>
      <c r="J219" s="653" t="s">
        <v>399</v>
      </c>
      <c r="K219" s="654">
        <v>588</v>
      </c>
      <c r="L219" s="653">
        <f>ROUND(K219,0)</f>
        <v>588</v>
      </c>
    </row>
    <row r="220" ht="20.1" customHeight="1" spans="1:12">
      <c r="A220" s="544" t="s">
        <v>401</v>
      </c>
      <c r="B220" s="689">
        <v>600</v>
      </c>
      <c r="C220" s="140">
        <v>731</v>
      </c>
      <c r="D220" s="692">
        <v>1020</v>
      </c>
      <c r="E220" s="692">
        <v>1020</v>
      </c>
      <c r="F220" s="686"/>
      <c r="G220" s="686"/>
      <c r="H220" s="687"/>
      <c r="I220" s="653" t="s">
        <v>402</v>
      </c>
      <c r="J220" s="653" t="s">
        <v>401</v>
      </c>
      <c r="K220" s="654">
        <v>1020</v>
      </c>
      <c r="L220" s="653">
        <f>ROUND(K220,0)</f>
        <v>1020</v>
      </c>
    </row>
    <row r="221" ht="20.1" customHeight="1" spans="1:8">
      <c r="A221" s="694" t="s">
        <v>403</v>
      </c>
      <c r="B221" s="710">
        <f>SUM(B223:B224)</f>
        <v>50</v>
      </c>
      <c r="C221" s="685">
        <f>SUM(C223:C224)</f>
        <v>3000</v>
      </c>
      <c r="D221" s="685">
        <f>SUM(D222:D224)</f>
        <v>3517</v>
      </c>
      <c r="E221" s="685">
        <f>SUM(E222:E224)</f>
        <v>3517</v>
      </c>
      <c r="F221" s="686"/>
      <c r="G221" s="686"/>
      <c r="H221" s="687"/>
    </row>
    <row r="222" ht="20.1" customHeight="1" spans="1:12">
      <c r="A222" s="544" t="s">
        <v>404</v>
      </c>
      <c r="B222" s="690"/>
      <c r="C222" s="692"/>
      <c r="D222" s="692">
        <v>5</v>
      </c>
      <c r="E222" s="692">
        <v>5</v>
      </c>
      <c r="F222" s="686"/>
      <c r="G222" s="686"/>
      <c r="H222" s="687"/>
      <c r="I222" s="653" t="s">
        <v>405</v>
      </c>
      <c r="J222" s="653" t="s">
        <v>404</v>
      </c>
      <c r="K222" s="654">
        <v>5</v>
      </c>
      <c r="L222" s="653">
        <f>ROUND(K222,0)</f>
        <v>5</v>
      </c>
    </row>
    <row r="223" ht="20.1" customHeight="1" spans="1:12">
      <c r="A223" s="544" t="s">
        <v>406</v>
      </c>
      <c r="B223" s="689">
        <v>50</v>
      </c>
      <c r="C223" s="140">
        <v>3000</v>
      </c>
      <c r="D223" s="692">
        <v>3133</v>
      </c>
      <c r="E223" s="692">
        <v>3133</v>
      </c>
      <c r="F223" s="686"/>
      <c r="G223" s="686"/>
      <c r="H223" s="711"/>
      <c r="I223" s="653" t="s">
        <v>407</v>
      </c>
      <c r="J223" s="653" t="s">
        <v>406</v>
      </c>
      <c r="K223" s="654">
        <v>3133</v>
      </c>
      <c r="L223" s="653">
        <f>ROUND(K223,0)</f>
        <v>3133</v>
      </c>
    </row>
    <row r="224" ht="20.1" customHeight="1" spans="1:12">
      <c r="A224" s="544" t="s">
        <v>408</v>
      </c>
      <c r="B224" s="689"/>
      <c r="C224" s="140"/>
      <c r="D224" s="692">
        <v>379</v>
      </c>
      <c r="E224" s="692">
        <v>379</v>
      </c>
      <c r="F224" s="686"/>
      <c r="G224" s="686"/>
      <c r="H224" s="687"/>
      <c r="I224" s="653" t="s">
        <v>409</v>
      </c>
      <c r="J224" s="653" t="s">
        <v>408</v>
      </c>
      <c r="K224" s="654">
        <v>379</v>
      </c>
      <c r="L224" s="653">
        <f>ROUND(K224,0)</f>
        <v>379</v>
      </c>
    </row>
    <row r="225" ht="33" customHeight="1" spans="1:12">
      <c r="A225" s="676" t="s">
        <v>410</v>
      </c>
      <c r="B225" s="677">
        <f>B226+B233+B240+B249+B253+B257+B263+B269+B277+B281+B287+B292+B295+B300+B284+B290</f>
        <v>116670</v>
      </c>
      <c r="C225" s="678">
        <f>C226+C233+C240+C249+C253+C257+C263+C269+C277+C281+C287+C292+C295+C300+C284</f>
        <v>124711</v>
      </c>
      <c r="D225" s="679">
        <f>D226+D233+D240+D249+D253+D257+D263+D269+D277+D281+D287+D292+D295+D300+D284+D290</f>
        <v>120076</v>
      </c>
      <c r="E225" s="679">
        <f>E226+E233+E240+E249+E253+E257+E263+E269+E277+E281+E287+E292+E295+E300+E284+E290</f>
        <v>120076</v>
      </c>
      <c r="F225" s="704">
        <f>E225/D225*100</f>
        <v>100</v>
      </c>
      <c r="G225" s="704">
        <f>(E225/B225-1)*100</f>
        <v>2.91934516156682</v>
      </c>
      <c r="H225" s="717"/>
      <c r="I225" s="697"/>
      <c r="J225" s="697"/>
      <c r="K225" s="698"/>
      <c r="L225" s="697"/>
    </row>
    <row r="226" ht="20.1" customHeight="1" spans="1:8">
      <c r="A226" s="682" t="s">
        <v>411</v>
      </c>
      <c r="B226" s="683">
        <f>SUM(B227:B232)</f>
        <v>4919</v>
      </c>
      <c r="C226" s="684">
        <f>SUM(C227:C232)</f>
        <v>7938</v>
      </c>
      <c r="D226" s="685">
        <f>SUM(D227:D232)</f>
        <v>11555</v>
      </c>
      <c r="E226" s="685">
        <f>SUM(E227:E232)</f>
        <v>11555</v>
      </c>
      <c r="F226" s="704"/>
      <c r="G226" s="704"/>
      <c r="H226" s="717"/>
    </row>
    <row r="227" ht="20.1" customHeight="1" spans="1:12">
      <c r="A227" s="688" t="s">
        <v>91</v>
      </c>
      <c r="B227" s="689">
        <v>410</v>
      </c>
      <c r="C227" s="140">
        <v>381</v>
      </c>
      <c r="D227" s="692">
        <v>706</v>
      </c>
      <c r="E227" s="692">
        <v>706</v>
      </c>
      <c r="F227" s="691"/>
      <c r="G227" s="691"/>
      <c r="H227" s="687"/>
      <c r="I227" s="653" t="s">
        <v>412</v>
      </c>
      <c r="J227" s="653" t="s">
        <v>91</v>
      </c>
      <c r="K227" s="654">
        <v>706</v>
      </c>
      <c r="L227" s="653">
        <f t="shared" ref="L227:L232" si="5">ROUND(K227,0)</f>
        <v>706</v>
      </c>
    </row>
    <row r="228" ht="20.1" customHeight="1" spans="1:12">
      <c r="A228" s="688" t="s">
        <v>93</v>
      </c>
      <c r="B228" s="689">
        <v>168</v>
      </c>
      <c r="C228" s="140">
        <v>126</v>
      </c>
      <c r="D228" s="692">
        <v>134</v>
      </c>
      <c r="E228" s="692">
        <v>134</v>
      </c>
      <c r="F228" s="691"/>
      <c r="G228" s="691"/>
      <c r="H228" s="687"/>
      <c r="I228" s="653" t="s">
        <v>413</v>
      </c>
      <c r="J228" s="653" t="s">
        <v>93</v>
      </c>
      <c r="K228" s="654">
        <v>134</v>
      </c>
      <c r="L228" s="653">
        <f t="shared" si="5"/>
        <v>134</v>
      </c>
    </row>
    <row r="229" ht="20.1" customHeight="1" spans="1:12">
      <c r="A229" s="688" t="s">
        <v>414</v>
      </c>
      <c r="B229" s="689">
        <v>88</v>
      </c>
      <c r="C229" s="693">
        <v>80</v>
      </c>
      <c r="D229" s="692">
        <v>80</v>
      </c>
      <c r="E229" s="692">
        <v>80</v>
      </c>
      <c r="F229" s="691"/>
      <c r="G229" s="691"/>
      <c r="H229" s="687"/>
      <c r="I229" s="653" t="s">
        <v>415</v>
      </c>
      <c r="J229" s="653" t="s">
        <v>414</v>
      </c>
      <c r="K229" s="654">
        <v>80</v>
      </c>
      <c r="L229" s="653">
        <f t="shared" si="5"/>
        <v>80</v>
      </c>
    </row>
    <row r="230" ht="20.1" customHeight="1" spans="1:12">
      <c r="A230" s="688" t="s">
        <v>416</v>
      </c>
      <c r="B230" s="689">
        <v>2408</v>
      </c>
      <c r="C230" s="693">
        <v>5000</v>
      </c>
      <c r="D230" s="692">
        <v>7592</v>
      </c>
      <c r="E230" s="692">
        <v>7592</v>
      </c>
      <c r="F230" s="686"/>
      <c r="G230" s="686"/>
      <c r="H230" s="687"/>
      <c r="I230" s="653" t="s">
        <v>417</v>
      </c>
      <c r="J230" s="653" t="s">
        <v>416</v>
      </c>
      <c r="K230" s="654">
        <v>7592</v>
      </c>
      <c r="L230" s="653">
        <f t="shared" si="5"/>
        <v>7592</v>
      </c>
    </row>
    <row r="231" ht="20.1" customHeight="1" spans="1:12">
      <c r="A231" s="688" t="s">
        <v>101</v>
      </c>
      <c r="B231" s="689">
        <v>1205</v>
      </c>
      <c r="C231" s="693">
        <v>1458</v>
      </c>
      <c r="D231" s="692">
        <v>1516</v>
      </c>
      <c r="E231" s="692">
        <v>1516</v>
      </c>
      <c r="F231" s="691"/>
      <c r="G231" s="691"/>
      <c r="H231" s="713"/>
      <c r="I231" s="653" t="s">
        <v>418</v>
      </c>
      <c r="J231" s="653" t="s">
        <v>101</v>
      </c>
      <c r="K231" s="654">
        <v>1516</v>
      </c>
      <c r="L231" s="653">
        <f t="shared" si="5"/>
        <v>1516</v>
      </c>
    </row>
    <row r="232" ht="20.1" customHeight="1" spans="1:12">
      <c r="A232" s="695" t="s">
        <v>419</v>
      </c>
      <c r="B232" s="689">
        <v>640</v>
      </c>
      <c r="C232" s="693">
        <v>893</v>
      </c>
      <c r="D232" s="692">
        <v>1527</v>
      </c>
      <c r="E232" s="692">
        <v>1527</v>
      </c>
      <c r="F232" s="691"/>
      <c r="G232" s="691"/>
      <c r="H232" s="687"/>
      <c r="I232" s="653" t="s">
        <v>420</v>
      </c>
      <c r="J232" s="653" t="s">
        <v>419</v>
      </c>
      <c r="K232" s="654">
        <v>1527</v>
      </c>
      <c r="L232" s="653">
        <f t="shared" si="5"/>
        <v>1527</v>
      </c>
    </row>
    <row r="233" ht="20.1" customHeight="1" spans="1:8">
      <c r="A233" s="682" t="s">
        <v>421</v>
      </c>
      <c r="B233" s="683">
        <f>SUM(B234:B239)</f>
        <v>1175</v>
      </c>
      <c r="C233" s="684">
        <f>SUM(C234:C239)</f>
        <v>1180</v>
      </c>
      <c r="D233" s="685">
        <f>SUM(D234:D239)</f>
        <v>1387</v>
      </c>
      <c r="E233" s="685">
        <f>SUM(E234:E239)</f>
        <v>1387</v>
      </c>
      <c r="F233" s="691"/>
      <c r="G233" s="691"/>
      <c r="H233" s="687"/>
    </row>
    <row r="234" ht="20.1" customHeight="1" spans="1:12">
      <c r="A234" s="688" t="s">
        <v>91</v>
      </c>
      <c r="B234" s="689">
        <v>869</v>
      </c>
      <c r="C234" s="140">
        <v>958</v>
      </c>
      <c r="D234" s="692">
        <v>1069</v>
      </c>
      <c r="E234" s="692">
        <v>1069</v>
      </c>
      <c r="F234" s="691"/>
      <c r="G234" s="691"/>
      <c r="H234" s="687"/>
      <c r="I234" s="653" t="s">
        <v>422</v>
      </c>
      <c r="J234" s="653" t="s">
        <v>91</v>
      </c>
      <c r="K234" s="654">
        <v>1069</v>
      </c>
      <c r="L234" s="653">
        <f>ROUND(K234,0)</f>
        <v>1069</v>
      </c>
    </row>
    <row r="235" ht="20.1" customHeight="1" spans="1:12">
      <c r="A235" s="688" t="s">
        <v>93</v>
      </c>
      <c r="B235" s="689">
        <v>194</v>
      </c>
      <c r="C235" s="140">
        <v>212</v>
      </c>
      <c r="D235" s="692">
        <v>222</v>
      </c>
      <c r="E235" s="692">
        <v>222</v>
      </c>
      <c r="F235" s="686"/>
      <c r="G235" s="686"/>
      <c r="H235" s="687"/>
      <c r="I235" s="653" t="s">
        <v>423</v>
      </c>
      <c r="J235" s="653" t="s">
        <v>93</v>
      </c>
      <c r="K235" s="654">
        <v>222</v>
      </c>
      <c r="L235" s="653">
        <f>ROUND(K235,0)</f>
        <v>222</v>
      </c>
    </row>
    <row r="236" ht="20.1" customHeight="1" spans="1:12">
      <c r="A236" s="688" t="s">
        <v>424</v>
      </c>
      <c r="B236" s="689">
        <v>2</v>
      </c>
      <c r="C236" s="140">
        <v>10</v>
      </c>
      <c r="D236" s="692">
        <v>10</v>
      </c>
      <c r="E236" s="692">
        <v>10</v>
      </c>
      <c r="F236" s="691"/>
      <c r="G236" s="691"/>
      <c r="H236" s="687"/>
      <c r="I236" s="653" t="s">
        <v>425</v>
      </c>
      <c r="J236" s="653" t="s">
        <v>424</v>
      </c>
      <c r="K236" s="654">
        <v>10</v>
      </c>
      <c r="L236" s="653">
        <f>ROUND(K236,0)</f>
        <v>10</v>
      </c>
    </row>
    <row r="237" ht="20.1" customHeight="1" spans="1:12">
      <c r="A237" s="688" t="s">
        <v>426</v>
      </c>
      <c r="B237" s="689">
        <v>75</v>
      </c>
      <c r="C237" s="140"/>
      <c r="D237" s="692">
        <v>55</v>
      </c>
      <c r="E237" s="692">
        <v>55</v>
      </c>
      <c r="F237" s="691"/>
      <c r="G237" s="691"/>
      <c r="H237" s="687"/>
      <c r="I237" s="653" t="s">
        <v>427</v>
      </c>
      <c r="J237" s="653" t="s">
        <v>426</v>
      </c>
      <c r="K237" s="654">
        <v>55</v>
      </c>
      <c r="L237" s="653">
        <f>ROUND(K237,0)</f>
        <v>55</v>
      </c>
    </row>
    <row r="238" ht="20.1" customHeight="1" spans="1:12">
      <c r="A238" s="688" t="s">
        <v>428</v>
      </c>
      <c r="B238" s="689"/>
      <c r="C238" s="693"/>
      <c r="D238" s="692">
        <v>31</v>
      </c>
      <c r="E238" s="692">
        <v>31</v>
      </c>
      <c r="F238" s="691"/>
      <c r="G238" s="691"/>
      <c r="H238" s="687"/>
      <c r="I238" s="653" t="s">
        <v>429</v>
      </c>
      <c r="J238" s="653" t="s">
        <v>428</v>
      </c>
      <c r="K238" s="654">
        <v>31</v>
      </c>
      <c r="L238" s="653">
        <f>ROUND(K238,0)</f>
        <v>31</v>
      </c>
    </row>
    <row r="239" ht="20.1" customHeight="1" spans="1:8">
      <c r="A239" s="688" t="s">
        <v>430</v>
      </c>
      <c r="B239" s="689">
        <v>35</v>
      </c>
      <c r="C239" s="693"/>
      <c r="D239" s="692"/>
      <c r="E239" s="692"/>
      <c r="F239" s="691"/>
      <c r="G239" s="691"/>
      <c r="H239" s="687"/>
    </row>
    <row r="240" ht="20.1" customHeight="1" spans="1:8">
      <c r="A240" s="682" t="s">
        <v>431</v>
      </c>
      <c r="B240" s="683">
        <f>SUM(B241:B248)</f>
        <v>70555</v>
      </c>
      <c r="C240" s="684">
        <f>SUM(C241:C248)</f>
        <v>68877</v>
      </c>
      <c r="D240" s="685">
        <f>SUM(D241:D248)</f>
        <v>73348</v>
      </c>
      <c r="E240" s="685">
        <f>SUM(E241:E248)</f>
        <v>73348</v>
      </c>
      <c r="F240" s="691"/>
      <c r="G240" s="691"/>
      <c r="H240" s="687"/>
    </row>
    <row r="241" ht="20.1" customHeight="1" spans="1:12">
      <c r="A241" s="688" t="s">
        <v>432</v>
      </c>
      <c r="B241" s="689">
        <v>5064</v>
      </c>
      <c r="C241" s="140">
        <v>5181</v>
      </c>
      <c r="D241" s="692">
        <v>5844</v>
      </c>
      <c r="E241" s="692">
        <v>5844</v>
      </c>
      <c r="F241" s="691"/>
      <c r="G241" s="691"/>
      <c r="H241" s="687"/>
      <c r="I241" s="653" t="s">
        <v>433</v>
      </c>
      <c r="J241" s="653" t="s">
        <v>432</v>
      </c>
      <c r="K241" s="654">
        <v>5844</v>
      </c>
      <c r="L241" s="653">
        <f t="shared" ref="L241:L248" si="6">ROUND(K241,0)</f>
        <v>5844</v>
      </c>
    </row>
    <row r="242" ht="20.1" customHeight="1" spans="1:12">
      <c r="A242" s="688" t="s">
        <v>434</v>
      </c>
      <c r="B242" s="689">
        <v>15205</v>
      </c>
      <c r="C242" s="140">
        <v>15602</v>
      </c>
      <c r="D242" s="692">
        <v>16507</v>
      </c>
      <c r="E242" s="692">
        <v>16507</v>
      </c>
      <c r="F242" s="691"/>
      <c r="G242" s="691"/>
      <c r="H242" s="687"/>
      <c r="I242" s="653" t="s">
        <v>435</v>
      </c>
      <c r="J242" s="653" t="s">
        <v>434</v>
      </c>
      <c r="K242" s="654">
        <v>16507</v>
      </c>
      <c r="L242" s="653">
        <f t="shared" si="6"/>
        <v>16507</v>
      </c>
    </row>
    <row r="243" ht="20.1" customHeight="1" spans="1:12">
      <c r="A243" s="688" t="s">
        <v>436</v>
      </c>
      <c r="B243" s="689">
        <v>34</v>
      </c>
      <c r="C243" s="140">
        <v>22</v>
      </c>
      <c r="D243" s="692">
        <v>22</v>
      </c>
      <c r="E243" s="692">
        <v>22</v>
      </c>
      <c r="F243" s="691"/>
      <c r="G243" s="691"/>
      <c r="H243" s="687"/>
      <c r="I243" s="653" t="s">
        <v>437</v>
      </c>
      <c r="J243" s="653" t="s">
        <v>436</v>
      </c>
      <c r="K243" s="654">
        <v>22</v>
      </c>
      <c r="L243" s="653">
        <f t="shared" si="6"/>
        <v>22</v>
      </c>
    </row>
    <row r="244" ht="20.1" customHeight="1" spans="1:12">
      <c r="A244" s="695" t="s">
        <v>438</v>
      </c>
      <c r="B244" s="689">
        <v>23912</v>
      </c>
      <c r="C244" s="140">
        <v>39914</v>
      </c>
      <c r="D244" s="692">
        <v>41025</v>
      </c>
      <c r="E244" s="692">
        <v>41025</v>
      </c>
      <c r="F244" s="691"/>
      <c r="G244" s="691"/>
      <c r="H244" s="687"/>
      <c r="I244" s="653" t="s">
        <v>439</v>
      </c>
      <c r="J244" s="653" t="s">
        <v>438</v>
      </c>
      <c r="K244" s="654">
        <v>41025</v>
      </c>
      <c r="L244" s="653">
        <f t="shared" si="6"/>
        <v>41025</v>
      </c>
    </row>
    <row r="245" ht="20.1" customHeight="1" spans="1:12">
      <c r="A245" s="695" t="s">
        <v>440</v>
      </c>
      <c r="B245" s="689">
        <v>2083</v>
      </c>
      <c r="C245" s="693">
        <v>0</v>
      </c>
      <c r="D245" s="692">
        <v>3791</v>
      </c>
      <c r="E245" s="692">
        <v>3791</v>
      </c>
      <c r="F245" s="691"/>
      <c r="G245" s="691"/>
      <c r="H245" s="687"/>
      <c r="I245" s="653" t="s">
        <v>441</v>
      </c>
      <c r="J245" s="653" t="s">
        <v>440</v>
      </c>
      <c r="K245" s="654">
        <v>3791</v>
      </c>
      <c r="L245" s="653">
        <f t="shared" si="6"/>
        <v>3791</v>
      </c>
    </row>
    <row r="246" ht="20.1" customHeight="1" spans="1:12">
      <c r="A246" s="695" t="s">
        <v>442</v>
      </c>
      <c r="B246" s="689">
        <v>16700</v>
      </c>
      <c r="C246" s="693">
        <v>10</v>
      </c>
      <c r="D246" s="692">
        <v>0</v>
      </c>
      <c r="E246" s="692">
        <v>0</v>
      </c>
      <c r="F246" s="691"/>
      <c r="G246" s="691"/>
      <c r="H246" s="687"/>
      <c r="I246" s="653" t="s">
        <v>443</v>
      </c>
      <c r="J246" s="653" t="s">
        <v>442</v>
      </c>
      <c r="K246" s="654">
        <v>0</v>
      </c>
      <c r="L246" s="653">
        <f t="shared" si="6"/>
        <v>0</v>
      </c>
    </row>
    <row r="247" ht="20.1" customHeight="1" spans="1:12">
      <c r="A247" s="695" t="s">
        <v>444</v>
      </c>
      <c r="B247" s="689"/>
      <c r="C247" s="693"/>
      <c r="D247" s="692">
        <v>81</v>
      </c>
      <c r="E247" s="692">
        <v>81</v>
      </c>
      <c r="F247" s="686"/>
      <c r="G247" s="686"/>
      <c r="H247" s="687"/>
      <c r="I247" s="653" t="s">
        <v>445</v>
      </c>
      <c r="J247" s="653" t="s">
        <v>444</v>
      </c>
      <c r="K247" s="654">
        <v>81</v>
      </c>
      <c r="L247" s="653">
        <f t="shared" si="6"/>
        <v>81</v>
      </c>
    </row>
    <row r="248" ht="20.1" customHeight="1" spans="1:12">
      <c r="A248" s="695" t="s">
        <v>446</v>
      </c>
      <c r="B248" s="696">
        <v>7557</v>
      </c>
      <c r="C248" s="693">
        <v>8148</v>
      </c>
      <c r="D248" s="692">
        <v>6078</v>
      </c>
      <c r="E248" s="692">
        <v>6078</v>
      </c>
      <c r="F248" s="686"/>
      <c r="G248" s="686"/>
      <c r="H248" s="687"/>
      <c r="I248" s="653" t="s">
        <v>447</v>
      </c>
      <c r="J248" s="653" t="s">
        <v>446</v>
      </c>
      <c r="K248" s="654">
        <v>6078</v>
      </c>
      <c r="L248" s="653">
        <f t="shared" si="6"/>
        <v>6078</v>
      </c>
    </row>
    <row r="249" ht="20.1" customHeight="1" spans="1:8">
      <c r="A249" s="682" t="s">
        <v>448</v>
      </c>
      <c r="B249" s="683">
        <f>SUM(B250:B252)</f>
        <v>1209</v>
      </c>
      <c r="C249" s="684">
        <f>SUM(C250:C252)</f>
        <v>1874</v>
      </c>
      <c r="D249" s="685">
        <f>SUM(D250:D252)</f>
        <v>1511</v>
      </c>
      <c r="E249" s="685">
        <f>SUM(E250:E252)</f>
        <v>1511</v>
      </c>
      <c r="F249" s="691"/>
      <c r="G249" s="691"/>
      <c r="H249" s="687"/>
    </row>
    <row r="250" ht="20.1" customHeight="1" spans="1:12">
      <c r="A250" s="688" t="s">
        <v>449</v>
      </c>
      <c r="B250" s="689">
        <v>1153</v>
      </c>
      <c r="C250" s="693">
        <v>835</v>
      </c>
      <c r="D250" s="692">
        <v>849</v>
      </c>
      <c r="E250" s="692">
        <v>849</v>
      </c>
      <c r="F250" s="691"/>
      <c r="G250" s="691"/>
      <c r="H250" s="687"/>
      <c r="I250" s="653" t="s">
        <v>450</v>
      </c>
      <c r="J250" s="653" t="s">
        <v>449</v>
      </c>
      <c r="K250" s="654">
        <v>849</v>
      </c>
      <c r="L250" s="653">
        <f>ROUND(K250,0)</f>
        <v>849</v>
      </c>
    </row>
    <row r="251" ht="20.1" customHeight="1" spans="1:12">
      <c r="A251" s="688" t="s">
        <v>451</v>
      </c>
      <c r="B251" s="689">
        <v>56</v>
      </c>
      <c r="C251" s="693"/>
      <c r="D251" s="692">
        <v>1</v>
      </c>
      <c r="E251" s="692">
        <v>1</v>
      </c>
      <c r="F251" s="691"/>
      <c r="G251" s="691"/>
      <c r="H251" s="687"/>
      <c r="I251" s="653" t="s">
        <v>452</v>
      </c>
      <c r="J251" s="653" t="s">
        <v>451</v>
      </c>
      <c r="K251" s="654">
        <v>1</v>
      </c>
      <c r="L251" s="653">
        <f>ROUND(K251,0)</f>
        <v>1</v>
      </c>
    </row>
    <row r="252" ht="20.1" customHeight="1" spans="1:12">
      <c r="A252" s="688" t="s">
        <v>453</v>
      </c>
      <c r="B252" s="689"/>
      <c r="C252" s="140">
        <v>1039</v>
      </c>
      <c r="D252" s="692">
        <v>661</v>
      </c>
      <c r="E252" s="692">
        <v>661</v>
      </c>
      <c r="F252" s="691"/>
      <c r="G252" s="691"/>
      <c r="H252" s="687"/>
      <c r="I252" s="653" t="s">
        <v>454</v>
      </c>
      <c r="J252" s="653" t="s">
        <v>453</v>
      </c>
      <c r="K252" s="654">
        <v>661</v>
      </c>
      <c r="L252" s="653">
        <f>ROUND(K252,0)</f>
        <v>661</v>
      </c>
    </row>
    <row r="253" ht="20.1" customHeight="1" spans="1:8">
      <c r="A253" s="682" t="s">
        <v>455</v>
      </c>
      <c r="B253" s="683">
        <f>SUM(B254:B256)</f>
        <v>6469</v>
      </c>
      <c r="C253" s="684">
        <f>SUM(C254:C256)</f>
        <v>8379</v>
      </c>
      <c r="D253" s="685">
        <f>SUM(D254:D256)</f>
        <v>9646</v>
      </c>
      <c r="E253" s="685">
        <f>SUM(E254:E256)</f>
        <v>9646</v>
      </c>
      <c r="F253" s="691"/>
      <c r="G253" s="691"/>
      <c r="H253" s="687"/>
    </row>
    <row r="254" ht="20.1" customHeight="1" spans="1:12">
      <c r="A254" s="688" t="s">
        <v>456</v>
      </c>
      <c r="B254" s="689">
        <v>2531</v>
      </c>
      <c r="C254" s="140">
        <v>1400</v>
      </c>
      <c r="D254" s="692">
        <v>2613</v>
      </c>
      <c r="E254" s="692">
        <v>2613</v>
      </c>
      <c r="F254" s="691"/>
      <c r="G254" s="691"/>
      <c r="H254" s="687"/>
      <c r="I254" s="653" t="s">
        <v>457</v>
      </c>
      <c r="J254" s="653" t="s">
        <v>456</v>
      </c>
      <c r="K254" s="654">
        <v>2613</v>
      </c>
      <c r="L254" s="653">
        <f>ROUND(K254,0)</f>
        <v>2613</v>
      </c>
    </row>
    <row r="255" ht="20.1" customHeight="1" spans="1:12">
      <c r="A255" s="688" t="s">
        <v>458</v>
      </c>
      <c r="B255" s="689">
        <v>2409</v>
      </c>
      <c r="C255" s="140">
        <v>3016</v>
      </c>
      <c r="D255" s="692">
        <v>2946</v>
      </c>
      <c r="E255" s="692">
        <v>2946</v>
      </c>
      <c r="F255" s="691"/>
      <c r="G255" s="691"/>
      <c r="H255" s="687"/>
      <c r="I255" s="653" t="s">
        <v>459</v>
      </c>
      <c r="J255" s="653" t="s">
        <v>458</v>
      </c>
      <c r="K255" s="654">
        <v>2946</v>
      </c>
      <c r="L255" s="653">
        <f>ROUND(K255,0)</f>
        <v>2946</v>
      </c>
    </row>
    <row r="256" ht="20.1" customHeight="1" spans="1:12">
      <c r="A256" s="688" t="s">
        <v>460</v>
      </c>
      <c r="B256" s="689">
        <v>1529</v>
      </c>
      <c r="C256" s="140">
        <v>3963</v>
      </c>
      <c r="D256" s="692">
        <v>4087</v>
      </c>
      <c r="E256" s="692">
        <v>4087</v>
      </c>
      <c r="F256" s="691"/>
      <c r="G256" s="691"/>
      <c r="H256" s="687"/>
      <c r="I256" s="653" t="s">
        <v>461</v>
      </c>
      <c r="J256" s="653" t="s">
        <v>460</v>
      </c>
      <c r="K256" s="654">
        <v>4087</v>
      </c>
      <c r="L256" s="653">
        <f>ROUND(K256,0)</f>
        <v>4087</v>
      </c>
    </row>
    <row r="257" ht="20.1" customHeight="1" spans="1:8">
      <c r="A257" s="682" t="s">
        <v>462</v>
      </c>
      <c r="B257" s="683">
        <f>SUM(B258:B261)</f>
        <v>2635</v>
      </c>
      <c r="C257" s="684">
        <f>SUM(C258:C261)</f>
        <v>62</v>
      </c>
      <c r="D257" s="685">
        <f>SUM(D258:D262)</f>
        <v>1068</v>
      </c>
      <c r="E257" s="685">
        <f>SUM(E258:E262)</f>
        <v>1068</v>
      </c>
      <c r="F257" s="691"/>
      <c r="G257" s="691"/>
      <c r="H257" s="687"/>
    </row>
    <row r="258" ht="20.1" customHeight="1" spans="1:12">
      <c r="A258" s="688" t="s">
        <v>463</v>
      </c>
      <c r="B258" s="689">
        <v>2410</v>
      </c>
      <c r="C258" s="140"/>
      <c r="D258" s="692">
        <v>161</v>
      </c>
      <c r="E258" s="692">
        <v>161</v>
      </c>
      <c r="F258" s="691"/>
      <c r="G258" s="691"/>
      <c r="H258" s="687"/>
      <c r="I258" s="653" t="s">
        <v>464</v>
      </c>
      <c r="J258" s="653" t="s">
        <v>463</v>
      </c>
      <c r="K258" s="654">
        <v>161</v>
      </c>
      <c r="L258" s="653">
        <f>ROUND(K258,0)</f>
        <v>161</v>
      </c>
    </row>
    <row r="259" ht="20.1" customHeight="1" spans="1:12">
      <c r="A259" s="695" t="s">
        <v>465</v>
      </c>
      <c r="B259" s="689">
        <v>156</v>
      </c>
      <c r="C259" s="140"/>
      <c r="D259" s="692">
        <v>280</v>
      </c>
      <c r="E259" s="692">
        <v>280</v>
      </c>
      <c r="F259" s="691"/>
      <c r="G259" s="691"/>
      <c r="H259" s="687"/>
      <c r="I259" s="653" t="s">
        <v>466</v>
      </c>
      <c r="J259" s="653" t="s">
        <v>465</v>
      </c>
      <c r="K259" s="654">
        <v>280</v>
      </c>
      <c r="L259" s="653">
        <f>ROUND(K259,0)</f>
        <v>280</v>
      </c>
    </row>
    <row r="260" ht="20.1" customHeight="1" spans="1:12">
      <c r="A260" s="695" t="s">
        <v>467</v>
      </c>
      <c r="B260" s="689">
        <v>20</v>
      </c>
      <c r="C260" s="140"/>
      <c r="D260" s="692">
        <v>2</v>
      </c>
      <c r="E260" s="692">
        <v>2</v>
      </c>
      <c r="F260" s="691"/>
      <c r="G260" s="691"/>
      <c r="H260" s="687"/>
      <c r="I260" s="653" t="s">
        <v>468</v>
      </c>
      <c r="J260" s="653" t="s">
        <v>467</v>
      </c>
      <c r="K260" s="654">
        <v>2</v>
      </c>
      <c r="L260" s="653">
        <f>ROUND(K260,0)</f>
        <v>2</v>
      </c>
    </row>
    <row r="261" ht="20.1" customHeight="1" spans="1:12">
      <c r="A261" s="688" t="s">
        <v>469</v>
      </c>
      <c r="B261" s="689">
        <v>49</v>
      </c>
      <c r="C261" s="140">
        <v>62</v>
      </c>
      <c r="D261" s="692">
        <v>618</v>
      </c>
      <c r="E261" s="692">
        <v>618</v>
      </c>
      <c r="F261" s="686"/>
      <c r="G261" s="686"/>
      <c r="H261" s="687"/>
      <c r="I261" s="653" t="s">
        <v>470</v>
      </c>
      <c r="J261" s="653" t="s">
        <v>469</v>
      </c>
      <c r="K261" s="654">
        <v>618</v>
      </c>
      <c r="L261" s="653">
        <f>ROUND(K261,0)</f>
        <v>618</v>
      </c>
    </row>
    <row r="262" ht="20.1" customHeight="1" spans="1:12">
      <c r="A262" s="688" t="s">
        <v>471</v>
      </c>
      <c r="B262" s="689"/>
      <c r="C262" s="140"/>
      <c r="D262" s="692">
        <v>7</v>
      </c>
      <c r="E262" s="692">
        <v>7</v>
      </c>
      <c r="F262" s="686"/>
      <c r="G262" s="686"/>
      <c r="H262" s="687"/>
      <c r="I262" s="653" t="s">
        <v>472</v>
      </c>
      <c r="J262" s="653" t="s">
        <v>471</v>
      </c>
      <c r="K262" s="654">
        <v>7</v>
      </c>
      <c r="L262" s="653">
        <f>ROUND(K262,0)</f>
        <v>7</v>
      </c>
    </row>
    <row r="263" ht="20.1" customHeight="1" spans="1:8">
      <c r="A263" s="682" t="s">
        <v>473</v>
      </c>
      <c r="B263" s="683">
        <f>SUM(B264:B267)</f>
        <v>1097</v>
      </c>
      <c r="C263" s="684">
        <f>SUM(C264:C268)</f>
        <v>2709</v>
      </c>
      <c r="D263" s="685">
        <f>SUM(D264:D268)</f>
        <v>2783</v>
      </c>
      <c r="E263" s="685">
        <f>SUM(E264:E268)</f>
        <v>2783</v>
      </c>
      <c r="F263" s="691"/>
      <c r="G263" s="691"/>
      <c r="H263" s="687"/>
    </row>
    <row r="264" ht="20.1" customHeight="1" spans="1:12">
      <c r="A264" s="688" t="s">
        <v>474</v>
      </c>
      <c r="B264" s="689">
        <v>442</v>
      </c>
      <c r="C264" s="140">
        <v>390</v>
      </c>
      <c r="D264" s="692">
        <v>487</v>
      </c>
      <c r="E264" s="692">
        <v>487</v>
      </c>
      <c r="F264" s="691"/>
      <c r="G264" s="691"/>
      <c r="H264" s="687"/>
      <c r="I264" s="653" t="s">
        <v>475</v>
      </c>
      <c r="J264" s="653" t="s">
        <v>474</v>
      </c>
      <c r="K264" s="654">
        <v>487</v>
      </c>
      <c r="L264" s="653">
        <f>ROUND(K264,0)</f>
        <v>487</v>
      </c>
    </row>
    <row r="265" ht="20.1" customHeight="1" spans="1:12">
      <c r="A265" s="688" t="s">
        <v>476</v>
      </c>
      <c r="B265" s="689">
        <v>93</v>
      </c>
      <c r="C265" s="140">
        <v>2234</v>
      </c>
      <c r="D265" s="692">
        <v>1954</v>
      </c>
      <c r="E265" s="692">
        <v>1954</v>
      </c>
      <c r="F265" s="686"/>
      <c r="G265" s="686"/>
      <c r="H265" s="687"/>
      <c r="I265" s="653" t="s">
        <v>477</v>
      </c>
      <c r="J265" s="653" t="s">
        <v>476</v>
      </c>
      <c r="K265" s="654">
        <v>1954</v>
      </c>
      <c r="L265" s="653">
        <f>ROUND(K265,0)</f>
        <v>1954</v>
      </c>
    </row>
    <row r="266" ht="20.1" customHeight="1" spans="1:12">
      <c r="A266" s="688" t="s">
        <v>478</v>
      </c>
      <c r="B266" s="689">
        <v>2</v>
      </c>
      <c r="C266" s="140">
        <v>10</v>
      </c>
      <c r="D266" s="692">
        <v>70</v>
      </c>
      <c r="E266" s="692">
        <v>70</v>
      </c>
      <c r="F266" s="686"/>
      <c r="G266" s="686"/>
      <c r="H266" s="687"/>
      <c r="I266" s="653" t="s">
        <v>479</v>
      </c>
      <c r="J266" s="653" t="s">
        <v>478</v>
      </c>
      <c r="K266" s="654">
        <v>70</v>
      </c>
      <c r="L266" s="653">
        <f>ROUND(K266,0)</f>
        <v>70</v>
      </c>
    </row>
    <row r="267" ht="20.1" customHeight="1" spans="1:12">
      <c r="A267" s="688" t="s">
        <v>480</v>
      </c>
      <c r="B267" s="689">
        <v>560</v>
      </c>
      <c r="C267" s="140"/>
      <c r="D267" s="692">
        <v>197</v>
      </c>
      <c r="E267" s="692">
        <v>197</v>
      </c>
      <c r="F267" s="686"/>
      <c r="G267" s="686"/>
      <c r="H267" s="687"/>
      <c r="I267" s="653" t="s">
        <v>481</v>
      </c>
      <c r="J267" s="653" t="s">
        <v>480</v>
      </c>
      <c r="K267" s="654">
        <v>197</v>
      </c>
      <c r="L267" s="653">
        <f>ROUND(K267,0)</f>
        <v>197</v>
      </c>
    </row>
    <row r="268" ht="20.1" customHeight="1" spans="1:12">
      <c r="A268" s="688" t="s">
        <v>482</v>
      </c>
      <c r="B268" s="689"/>
      <c r="C268" s="140">
        <v>75</v>
      </c>
      <c r="D268" s="692">
        <v>75</v>
      </c>
      <c r="E268" s="692">
        <v>75</v>
      </c>
      <c r="F268" s="686"/>
      <c r="G268" s="686"/>
      <c r="H268" s="687"/>
      <c r="I268" s="653" t="s">
        <v>483</v>
      </c>
      <c r="J268" s="653" t="s">
        <v>482</v>
      </c>
      <c r="K268" s="654">
        <v>75</v>
      </c>
      <c r="L268" s="653">
        <f>ROUND(K268,0)</f>
        <v>75</v>
      </c>
    </row>
    <row r="269" ht="20.1" customHeight="1" spans="1:8">
      <c r="A269" s="682" t="s">
        <v>484</v>
      </c>
      <c r="B269" s="683">
        <f>SUM(B270:B276)</f>
        <v>704</v>
      </c>
      <c r="C269" s="684">
        <f>SUM(C270:C276)</f>
        <v>1360</v>
      </c>
      <c r="D269" s="685">
        <f>SUM(D270:D276)</f>
        <v>1666</v>
      </c>
      <c r="E269" s="685">
        <f>SUM(E270:E276)</f>
        <v>1666</v>
      </c>
      <c r="F269" s="686"/>
      <c r="G269" s="686"/>
      <c r="H269" s="687"/>
    </row>
    <row r="270" ht="20.1" customHeight="1" spans="1:12">
      <c r="A270" s="688" t="s">
        <v>91</v>
      </c>
      <c r="B270" s="689">
        <v>231</v>
      </c>
      <c r="C270" s="140">
        <v>368</v>
      </c>
      <c r="D270" s="692">
        <v>388</v>
      </c>
      <c r="E270" s="692">
        <v>388</v>
      </c>
      <c r="F270" s="691"/>
      <c r="G270" s="691"/>
      <c r="H270" s="687"/>
      <c r="I270" s="653" t="s">
        <v>485</v>
      </c>
      <c r="J270" s="653" t="s">
        <v>91</v>
      </c>
      <c r="K270" s="654">
        <v>388</v>
      </c>
      <c r="L270" s="653">
        <f t="shared" ref="L270:L276" si="7">ROUND(K270,0)</f>
        <v>388</v>
      </c>
    </row>
    <row r="271" ht="20.1" customHeight="1" spans="1:12">
      <c r="A271" s="688" t="s">
        <v>93</v>
      </c>
      <c r="B271" s="689">
        <v>102</v>
      </c>
      <c r="C271" s="140">
        <v>23</v>
      </c>
      <c r="D271" s="692">
        <v>26</v>
      </c>
      <c r="E271" s="692">
        <v>26</v>
      </c>
      <c r="F271" s="686"/>
      <c r="G271" s="686"/>
      <c r="H271" s="687"/>
      <c r="I271" s="653" t="s">
        <v>486</v>
      </c>
      <c r="J271" s="653" t="s">
        <v>93</v>
      </c>
      <c r="K271" s="654">
        <v>26</v>
      </c>
      <c r="L271" s="653">
        <f t="shared" si="7"/>
        <v>26</v>
      </c>
    </row>
    <row r="272" ht="20.1" customHeight="1" spans="1:12">
      <c r="A272" s="688" t="s">
        <v>487</v>
      </c>
      <c r="B272" s="689">
        <v>28</v>
      </c>
      <c r="C272" s="693">
        <v>365</v>
      </c>
      <c r="D272" s="692">
        <v>561</v>
      </c>
      <c r="E272" s="692">
        <v>561</v>
      </c>
      <c r="F272" s="691"/>
      <c r="G272" s="691"/>
      <c r="H272" s="687"/>
      <c r="I272" s="653" t="s">
        <v>488</v>
      </c>
      <c r="J272" s="653" t="s">
        <v>487</v>
      </c>
      <c r="K272" s="654">
        <v>561</v>
      </c>
      <c r="L272" s="653">
        <f t="shared" si="7"/>
        <v>561</v>
      </c>
    </row>
    <row r="273" ht="20.1" customHeight="1" spans="1:12">
      <c r="A273" s="544" t="s">
        <v>489</v>
      </c>
      <c r="B273" s="689">
        <v>79</v>
      </c>
      <c r="C273" s="693">
        <v>91</v>
      </c>
      <c r="D273" s="692">
        <v>103</v>
      </c>
      <c r="E273" s="692">
        <v>103</v>
      </c>
      <c r="F273" s="686"/>
      <c r="G273" s="686"/>
      <c r="H273" s="687"/>
      <c r="I273" s="653" t="s">
        <v>490</v>
      </c>
      <c r="J273" s="653" t="s">
        <v>489</v>
      </c>
      <c r="K273" s="654">
        <v>103</v>
      </c>
      <c r="L273" s="653">
        <f t="shared" si="7"/>
        <v>103</v>
      </c>
    </row>
    <row r="274" ht="20.1" customHeight="1" spans="1:12">
      <c r="A274" s="544" t="s">
        <v>491</v>
      </c>
      <c r="B274" s="689"/>
      <c r="C274" s="693"/>
      <c r="D274" s="692">
        <v>4</v>
      </c>
      <c r="E274" s="692">
        <v>4</v>
      </c>
      <c r="F274" s="686"/>
      <c r="G274" s="686"/>
      <c r="H274" s="687"/>
      <c r="I274" s="653" t="s">
        <v>492</v>
      </c>
      <c r="J274" s="653" t="s">
        <v>491</v>
      </c>
      <c r="K274" s="654">
        <v>4</v>
      </c>
      <c r="L274" s="653">
        <f t="shared" si="7"/>
        <v>4</v>
      </c>
    </row>
    <row r="275" ht="20.1" customHeight="1" spans="1:12">
      <c r="A275" s="688" t="s">
        <v>493</v>
      </c>
      <c r="B275" s="696">
        <v>11</v>
      </c>
      <c r="C275" s="693">
        <v>80</v>
      </c>
      <c r="D275" s="692">
        <v>138</v>
      </c>
      <c r="E275" s="692">
        <v>138</v>
      </c>
      <c r="F275" s="686"/>
      <c r="G275" s="686"/>
      <c r="H275" s="687"/>
      <c r="I275" s="653" t="s">
        <v>494</v>
      </c>
      <c r="J275" s="653" t="s">
        <v>493</v>
      </c>
      <c r="K275" s="654">
        <v>138</v>
      </c>
      <c r="L275" s="653">
        <f t="shared" si="7"/>
        <v>138</v>
      </c>
    </row>
    <row r="276" ht="20.1" customHeight="1" spans="1:12">
      <c r="A276" s="688" t="s">
        <v>495</v>
      </c>
      <c r="B276" s="696">
        <v>253</v>
      </c>
      <c r="C276" s="140">
        <v>433</v>
      </c>
      <c r="D276" s="692">
        <v>446</v>
      </c>
      <c r="E276" s="692">
        <v>446</v>
      </c>
      <c r="F276" s="704"/>
      <c r="G276" s="704"/>
      <c r="H276" s="687"/>
      <c r="I276" s="653" t="s">
        <v>496</v>
      </c>
      <c r="J276" s="653" t="s">
        <v>495</v>
      </c>
      <c r="K276" s="654">
        <v>446</v>
      </c>
      <c r="L276" s="653">
        <f t="shared" si="7"/>
        <v>446</v>
      </c>
    </row>
    <row r="277" ht="19.5" customHeight="1" spans="1:8">
      <c r="A277" s="682" t="s">
        <v>497</v>
      </c>
      <c r="B277" s="683">
        <f>SUM(B278:B280)</f>
        <v>276</v>
      </c>
      <c r="C277" s="684">
        <f>SUM(C278:C280)</f>
        <v>131</v>
      </c>
      <c r="D277" s="685">
        <f>SUM(D278:D280)</f>
        <v>597</v>
      </c>
      <c r="E277" s="685">
        <f>SUM(E278:E280)</f>
        <v>597</v>
      </c>
      <c r="F277" s="691"/>
      <c r="G277" s="691"/>
      <c r="H277" s="687"/>
    </row>
    <row r="278" ht="20.1" customHeight="1" spans="1:12">
      <c r="A278" s="688" t="s">
        <v>91</v>
      </c>
      <c r="B278" s="689">
        <v>82</v>
      </c>
      <c r="C278" s="140">
        <v>86</v>
      </c>
      <c r="D278" s="692">
        <v>90</v>
      </c>
      <c r="E278" s="692">
        <v>90</v>
      </c>
      <c r="F278" s="691"/>
      <c r="G278" s="691"/>
      <c r="H278" s="687"/>
      <c r="I278" s="653" t="s">
        <v>498</v>
      </c>
      <c r="J278" s="653" t="s">
        <v>91</v>
      </c>
      <c r="K278" s="654">
        <v>90</v>
      </c>
      <c r="L278" s="653">
        <f>ROUND(K278,0)</f>
        <v>90</v>
      </c>
    </row>
    <row r="279" ht="20.1" customHeight="1" spans="1:12">
      <c r="A279" s="688" t="s">
        <v>93</v>
      </c>
      <c r="B279" s="689">
        <v>35</v>
      </c>
      <c r="C279" s="140">
        <v>45</v>
      </c>
      <c r="D279" s="692">
        <v>47</v>
      </c>
      <c r="E279" s="692">
        <v>47</v>
      </c>
      <c r="F279" s="686"/>
      <c r="G279" s="686"/>
      <c r="H279" s="687"/>
      <c r="I279" s="653" t="s">
        <v>499</v>
      </c>
      <c r="J279" s="653" t="s">
        <v>93</v>
      </c>
      <c r="K279" s="654">
        <v>47</v>
      </c>
      <c r="L279" s="653">
        <f>ROUND(K279,0)</f>
        <v>47</v>
      </c>
    </row>
    <row r="280" ht="18" customHeight="1" spans="1:12">
      <c r="A280" s="688" t="s">
        <v>500</v>
      </c>
      <c r="B280" s="689">
        <v>159</v>
      </c>
      <c r="C280" s="693"/>
      <c r="D280" s="692">
        <v>460</v>
      </c>
      <c r="E280" s="692">
        <v>460</v>
      </c>
      <c r="F280" s="691"/>
      <c r="G280" s="691"/>
      <c r="H280" s="687"/>
      <c r="I280" s="653" t="s">
        <v>501</v>
      </c>
      <c r="J280" s="653" t="s">
        <v>500</v>
      </c>
      <c r="K280" s="654">
        <v>460</v>
      </c>
      <c r="L280" s="653">
        <f>ROUND(K280,0)</f>
        <v>460</v>
      </c>
    </row>
    <row r="281" ht="20.1" customHeight="1" spans="1:8">
      <c r="A281" s="682" t="s">
        <v>502</v>
      </c>
      <c r="B281" s="683">
        <f>SUM(B282:B283)</f>
        <v>5339</v>
      </c>
      <c r="C281" s="684">
        <f>SUM(C282:C283)</f>
        <v>5589</v>
      </c>
      <c r="D281" s="685">
        <f>SUM(D282:D283)</f>
        <v>5847</v>
      </c>
      <c r="E281" s="685">
        <f>SUM(E282:E283)</f>
        <v>5847</v>
      </c>
      <c r="F281" s="691"/>
      <c r="G281" s="691"/>
      <c r="H281" s="687"/>
    </row>
    <row r="282" ht="20.1" customHeight="1" spans="1:12">
      <c r="A282" s="688" t="s">
        <v>503</v>
      </c>
      <c r="B282" s="689">
        <v>124</v>
      </c>
      <c r="C282" s="140">
        <v>88</v>
      </c>
      <c r="D282" s="692">
        <v>109</v>
      </c>
      <c r="E282" s="692">
        <v>109</v>
      </c>
      <c r="F282" s="686"/>
      <c r="G282" s="686"/>
      <c r="H282" s="687"/>
      <c r="I282" s="653" t="s">
        <v>504</v>
      </c>
      <c r="J282" s="653" t="s">
        <v>503</v>
      </c>
      <c r="K282" s="654">
        <v>109</v>
      </c>
      <c r="L282" s="653">
        <f>ROUND(K282,0)</f>
        <v>109</v>
      </c>
    </row>
    <row r="283" ht="20.1" customHeight="1" spans="1:12">
      <c r="A283" s="688" t="s">
        <v>505</v>
      </c>
      <c r="B283" s="689">
        <v>5215</v>
      </c>
      <c r="C283" s="140">
        <v>5501</v>
      </c>
      <c r="D283" s="692">
        <v>5738</v>
      </c>
      <c r="E283" s="692">
        <v>5738</v>
      </c>
      <c r="F283" s="686"/>
      <c r="G283" s="686"/>
      <c r="H283" s="687"/>
      <c r="I283" s="653" t="s">
        <v>506</v>
      </c>
      <c r="J283" s="653" t="s">
        <v>505</v>
      </c>
      <c r="K283" s="654">
        <v>5738</v>
      </c>
      <c r="L283" s="653">
        <f>ROUND(K283,0)</f>
        <v>5738</v>
      </c>
    </row>
    <row r="284" ht="20.1" customHeight="1" spans="1:8">
      <c r="A284" s="682" t="s">
        <v>507</v>
      </c>
      <c r="B284" s="683">
        <f>SUM(B285)</f>
        <v>533</v>
      </c>
      <c r="C284" s="684">
        <f>C285</f>
        <v>553</v>
      </c>
      <c r="D284" s="685">
        <f>SUM(D285:D286)</f>
        <v>621</v>
      </c>
      <c r="E284" s="685">
        <f>SUM(E285:E286)</f>
        <v>621</v>
      </c>
      <c r="F284" s="691"/>
      <c r="G284" s="691"/>
      <c r="H284" s="687"/>
    </row>
    <row r="285" ht="20.1" customHeight="1" spans="1:12">
      <c r="A285" s="688" t="s">
        <v>508</v>
      </c>
      <c r="B285" s="689">
        <v>533</v>
      </c>
      <c r="C285" s="140">
        <v>553</v>
      </c>
      <c r="D285" s="692">
        <v>553</v>
      </c>
      <c r="E285" s="692">
        <v>553</v>
      </c>
      <c r="F285" s="691"/>
      <c r="G285" s="691"/>
      <c r="H285" s="687"/>
      <c r="I285" s="653" t="s">
        <v>509</v>
      </c>
      <c r="J285" s="653" t="s">
        <v>508</v>
      </c>
      <c r="K285" s="654">
        <v>553</v>
      </c>
      <c r="L285" s="653">
        <f>ROUND(K285,0)</f>
        <v>553</v>
      </c>
    </row>
    <row r="286" ht="20.1" customHeight="1" spans="1:12">
      <c r="A286" s="688" t="s">
        <v>510</v>
      </c>
      <c r="B286" s="689"/>
      <c r="C286" s="140"/>
      <c r="D286" s="692">
        <v>68</v>
      </c>
      <c r="E286" s="692">
        <f>ROUND(D286,0)</f>
        <v>68</v>
      </c>
      <c r="F286" s="691"/>
      <c r="G286" s="691"/>
      <c r="H286" s="687"/>
      <c r="I286" s="653" t="s">
        <v>511</v>
      </c>
      <c r="J286" s="653" t="s">
        <v>510</v>
      </c>
      <c r="K286" s="654">
        <v>68</v>
      </c>
      <c r="L286" s="653">
        <f>ROUND(K286,0)</f>
        <v>68</v>
      </c>
    </row>
    <row r="287" ht="20.1" customHeight="1" spans="1:8">
      <c r="A287" s="682" t="s">
        <v>512</v>
      </c>
      <c r="B287" s="683">
        <f>SUM(B288:B289)</f>
        <v>1294</v>
      </c>
      <c r="C287" s="684">
        <f>SUM(C288:C289)</f>
        <v>1169</v>
      </c>
      <c r="D287" s="685">
        <f>SUM(D288:D289)</f>
        <v>1108</v>
      </c>
      <c r="E287" s="685">
        <f>SUM(E288:E289)</f>
        <v>1108</v>
      </c>
      <c r="F287" s="691"/>
      <c r="G287" s="691"/>
      <c r="H287" s="687"/>
    </row>
    <row r="288" ht="20.1" customHeight="1" spans="1:12">
      <c r="A288" s="688" t="s">
        <v>513</v>
      </c>
      <c r="B288" s="689">
        <v>60</v>
      </c>
      <c r="C288" s="140">
        <v>55</v>
      </c>
      <c r="D288" s="692">
        <v>50</v>
      </c>
      <c r="E288" s="692">
        <v>50</v>
      </c>
      <c r="F288" s="718"/>
      <c r="G288" s="719">
        <v>0</v>
      </c>
      <c r="H288" s="687"/>
      <c r="I288" s="653" t="s">
        <v>514</v>
      </c>
      <c r="J288" s="653" t="s">
        <v>513</v>
      </c>
      <c r="K288" s="654">
        <v>50</v>
      </c>
      <c r="L288" s="653">
        <f>ROUND(K288,0)</f>
        <v>50</v>
      </c>
    </row>
    <row r="289" ht="20.1" customHeight="1" spans="1:12">
      <c r="A289" s="688" t="s">
        <v>515</v>
      </c>
      <c r="B289" s="689">
        <v>1234</v>
      </c>
      <c r="C289" s="140">
        <v>1114</v>
      </c>
      <c r="D289" s="692">
        <v>1058</v>
      </c>
      <c r="E289" s="692">
        <v>1058</v>
      </c>
      <c r="F289" s="691"/>
      <c r="G289" s="691"/>
      <c r="H289" s="687"/>
      <c r="I289" s="653" t="s">
        <v>516</v>
      </c>
      <c r="J289" s="653" t="s">
        <v>515</v>
      </c>
      <c r="K289" s="654">
        <v>1058</v>
      </c>
      <c r="L289" s="653">
        <f>ROUND(K289,0)</f>
        <v>1058</v>
      </c>
    </row>
    <row r="290" ht="20.1" customHeight="1" spans="1:8">
      <c r="A290" s="682" t="s">
        <v>517</v>
      </c>
      <c r="B290" s="710">
        <f>B291</f>
        <v>153</v>
      </c>
      <c r="C290" s="685">
        <f>C291</f>
        <v>0</v>
      </c>
      <c r="D290" s="685">
        <f>D291</f>
        <v>5</v>
      </c>
      <c r="E290" s="685">
        <f>E291</f>
        <v>5</v>
      </c>
      <c r="F290" s="691"/>
      <c r="G290" s="691"/>
      <c r="H290" s="687"/>
    </row>
    <row r="291" ht="20.1" customHeight="1" spans="1:12">
      <c r="A291" s="688" t="s">
        <v>518</v>
      </c>
      <c r="B291" s="689">
        <v>153</v>
      </c>
      <c r="C291" s="140"/>
      <c r="D291" s="692">
        <v>5</v>
      </c>
      <c r="E291" s="692">
        <v>5</v>
      </c>
      <c r="F291" s="686"/>
      <c r="G291" s="686"/>
      <c r="H291" s="711"/>
      <c r="I291" s="653" t="s">
        <v>519</v>
      </c>
      <c r="J291" s="653" t="s">
        <v>518</v>
      </c>
      <c r="K291" s="654">
        <v>5</v>
      </c>
      <c r="L291" s="653">
        <f>ROUND(K291,0)</f>
        <v>5</v>
      </c>
    </row>
    <row r="292" ht="20.1" customHeight="1" spans="1:8">
      <c r="A292" s="682" t="s">
        <v>520</v>
      </c>
      <c r="B292" s="683">
        <f>SUM(B294)</f>
        <v>18183</v>
      </c>
      <c r="C292" s="684">
        <f>SUM(C294)</f>
        <v>21612</v>
      </c>
      <c r="D292" s="685">
        <f>SUM(D293:D294)</f>
        <v>5187</v>
      </c>
      <c r="E292" s="685">
        <f>SUM(E293:E294)</f>
        <v>5187</v>
      </c>
      <c r="F292" s="691"/>
      <c r="G292" s="691"/>
      <c r="H292" s="687"/>
    </row>
    <row r="293" ht="20.1" customHeight="1" spans="1:12">
      <c r="A293" s="695" t="s">
        <v>521</v>
      </c>
      <c r="B293" s="708"/>
      <c r="C293" s="703"/>
      <c r="D293" s="692">
        <v>102</v>
      </c>
      <c r="E293" s="692">
        <v>102</v>
      </c>
      <c r="F293" s="691"/>
      <c r="G293" s="691"/>
      <c r="H293" s="687"/>
      <c r="I293" s="653" t="s">
        <v>522</v>
      </c>
      <c r="J293" s="653" t="s">
        <v>521</v>
      </c>
      <c r="K293" s="654">
        <v>102</v>
      </c>
      <c r="L293" s="653">
        <f>ROUND(K293,0)</f>
        <v>102</v>
      </c>
    </row>
    <row r="294" ht="20.1" customHeight="1" spans="1:12">
      <c r="A294" s="695" t="s">
        <v>523</v>
      </c>
      <c r="B294" s="689">
        <v>18183</v>
      </c>
      <c r="C294" s="693">
        <v>21612</v>
      </c>
      <c r="D294" s="692">
        <v>5085</v>
      </c>
      <c r="E294" s="692">
        <v>5085</v>
      </c>
      <c r="F294" s="686"/>
      <c r="G294" s="686"/>
      <c r="H294" s="687"/>
      <c r="I294" s="653" t="s">
        <v>524</v>
      </c>
      <c r="J294" s="653" t="s">
        <v>523</v>
      </c>
      <c r="K294" s="654">
        <v>5085</v>
      </c>
      <c r="L294" s="653">
        <f>ROUND(K294,0)</f>
        <v>5085</v>
      </c>
    </row>
    <row r="295" ht="20.1" customHeight="1" spans="1:8">
      <c r="A295" s="682" t="s">
        <v>525</v>
      </c>
      <c r="B295" s="683">
        <f>SUM(B296:B299)</f>
        <v>800</v>
      </c>
      <c r="C295" s="684">
        <f>SUM(C296:C299)</f>
        <v>650</v>
      </c>
      <c r="D295" s="685">
        <f>SUM(D296:D299)</f>
        <v>1189</v>
      </c>
      <c r="E295" s="685">
        <f>SUM(E296:E299)</f>
        <v>1189</v>
      </c>
      <c r="F295" s="691"/>
      <c r="G295" s="691"/>
      <c r="H295" s="687"/>
    </row>
    <row r="296" ht="20.1" customHeight="1" spans="1:12">
      <c r="A296" s="688" t="s">
        <v>91</v>
      </c>
      <c r="B296" s="689">
        <v>220</v>
      </c>
      <c r="C296" s="140">
        <v>227</v>
      </c>
      <c r="D296" s="692">
        <v>257</v>
      </c>
      <c r="E296" s="692">
        <v>257</v>
      </c>
      <c r="F296" s="691"/>
      <c r="G296" s="691"/>
      <c r="H296" s="687"/>
      <c r="I296" s="653" t="s">
        <v>526</v>
      </c>
      <c r="J296" s="653" t="s">
        <v>91</v>
      </c>
      <c r="K296" s="654">
        <v>257</v>
      </c>
      <c r="L296" s="653">
        <f>ROUND(K296,0)</f>
        <v>257</v>
      </c>
    </row>
    <row r="297" ht="20.1" customHeight="1" spans="1:12">
      <c r="A297" s="688" t="s">
        <v>93</v>
      </c>
      <c r="B297" s="689">
        <v>68</v>
      </c>
      <c r="C297" s="140">
        <v>65</v>
      </c>
      <c r="D297" s="692">
        <v>72</v>
      </c>
      <c r="E297" s="692">
        <v>72</v>
      </c>
      <c r="F297" s="691"/>
      <c r="G297" s="691"/>
      <c r="H297" s="687"/>
      <c r="I297" s="653" t="s">
        <v>527</v>
      </c>
      <c r="J297" s="653" t="s">
        <v>93</v>
      </c>
      <c r="K297" s="654">
        <v>72</v>
      </c>
      <c r="L297" s="653">
        <f>ROUND(K297,0)</f>
        <v>72</v>
      </c>
    </row>
    <row r="298" ht="20.1" customHeight="1" spans="1:12">
      <c r="A298" s="688" t="s">
        <v>528</v>
      </c>
      <c r="B298" s="689">
        <v>347</v>
      </c>
      <c r="C298" s="140">
        <v>150</v>
      </c>
      <c r="D298" s="692">
        <v>651</v>
      </c>
      <c r="E298" s="692">
        <v>651</v>
      </c>
      <c r="F298" s="691"/>
      <c r="G298" s="691"/>
      <c r="H298" s="687"/>
      <c r="I298" s="653" t="s">
        <v>529</v>
      </c>
      <c r="J298" s="653" t="s">
        <v>528</v>
      </c>
      <c r="K298" s="654">
        <v>651</v>
      </c>
      <c r="L298" s="653">
        <f>ROUND(K298,0)</f>
        <v>651</v>
      </c>
    </row>
    <row r="299" ht="20.1" customHeight="1" spans="1:12">
      <c r="A299" s="688" t="s">
        <v>101</v>
      </c>
      <c r="B299" s="689">
        <v>165</v>
      </c>
      <c r="C299" s="140">
        <v>208</v>
      </c>
      <c r="D299" s="692">
        <v>209</v>
      </c>
      <c r="E299" s="692">
        <v>209</v>
      </c>
      <c r="F299" s="691"/>
      <c r="G299" s="691"/>
      <c r="H299" s="687"/>
      <c r="I299" s="653" t="s">
        <v>530</v>
      </c>
      <c r="J299" s="653" t="s">
        <v>101</v>
      </c>
      <c r="K299" s="654">
        <v>209</v>
      </c>
      <c r="L299" s="653">
        <f>ROUND(K299,0)</f>
        <v>209</v>
      </c>
    </row>
    <row r="300" ht="20.1" customHeight="1" spans="1:8">
      <c r="A300" s="682" t="s">
        <v>531</v>
      </c>
      <c r="B300" s="683">
        <f>SUM(B301)</f>
        <v>1329</v>
      </c>
      <c r="C300" s="684">
        <f>SUM(C301)</f>
        <v>2628</v>
      </c>
      <c r="D300" s="685">
        <f>SUM(D301)</f>
        <v>2558</v>
      </c>
      <c r="E300" s="685">
        <f>SUM(E301)</f>
        <v>2558</v>
      </c>
      <c r="F300" s="691"/>
      <c r="G300" s="691"/>
      <c r="H300" s="687"/>
    </row>
    <row r="301" ht="20.1" customHeight="1" spans="1:12">
      <c r="A301" s="688" t="s">
        <v>532</v>
      </c>
      <c r="B301" s="702">
        <v>1329</v>
      </c>
      <c r="C301" s="693">
        <v>2628</v>
      </c>
      <c r="D301" s="692">
        <v>2558</v>
      </c>
      <c r="E301" s="692">
        <v>2558</v>
      </c>
      <c r="F301" s="691"/>
      <c r="G301" s="691"/>
      <c r="H301" s="687"/>
      <c r="I301" s="653" t="s">
        <v>533</v>
      </c>
      <c r="J301" s="653" t="s">
        <v>532</v>
      </c>
      <c r="K301" s="654">
        <v>2558</v>
      </c>
      <c r="L301" s="653">
        <f>ROUND(K301,0)</f>
        <v>2558</v>
      </c>
    </row>
    <row r="302" ht="27.95" customHeight="1" spans="1:12">
      <c r="A302" s="676" t="s">
        <v>534</v>
      </c>
      <c r="B302" s="677">
        <f>SUM(B303,B307,B312,B315,B324,B328,B331,B333,B339,B341,B337)</f>
        <v>85117</v>
      </c>
      <c r="C302" s="720">
        <f>SUM(C303,C307,C312,C315,C324,C328,C331,C333,C339,C341,C322,C335,C337)</f>
        <v>116256</v>
      </c>
      <c r="D302" s="721">
        <f>SUM(D303,D307,D312,D315,D324,D328,D331,D333,D339,D341)+D322+D337+D335</f>
        <v>82026</v>
      </c>
      <c r="E302" s="721">
        <f>SUM(E303,E307,E312,E315,E324,E328,E331,E333,E339,E341)+E322+E337+E335</f>
        <v>82026</v>
      </c>
      <c r="F302" s="704">
        <f>E302/D302*100</f>
        <v>100</v>
      </c>
      <c r="G302" s="704">
        <f>(E302/B302-1)*100</f>
        <v>-3.63147197387126</v>
      </c>
      <c r="H302" s="722" t="s">
        <v>535</v>
      </c>
      <c r="I302" s="697"/>
      <c r="J302" s="697"/>
      <c r="K302" s="698"/>
      <c r="L302" s="697"/>
    </row>
    <row r="303" ht="20.1" customHeight="1" spans="1:8">
      <c r="A303" s="682" t="s">
        <v>536</v>
      </c>
      <c r="B303" s="683">
        <f>SUM(B304:B306)</f>
        <v>2231</v>
      </c>
      <c r="C303" s="684">
        <f>SUM(C304:C306)</f>
        <v>1523</v>
      </c>
      <c r="D303" s="685">
        <f>SUM(D304:D306)</f>
        <v>2789</v>
      </c>
      <c r="E303" s="685">
        <f>SUM(E304:E306)</f>
        <v>2789</v>
      </c>
      <c r="F303" s="704"/>
      <c r="G303" s="704"/>
      <c r="H303" s="717"/>
    </row>
    <row r="304" ht="20.1" customHeight="1" spans="1:12">
      <c r="A304" s="688" t="s">
        <v>91</v>
      </c>
      <c r="B304" s="689">
        <v>1079</v>
      </c>
      <c r="C304" s="140">
        <v>1303</v>
      </c>
      <c r="D304" s="692">
        <v>1823</v>
      </c>
      <c r="E304" s="692">
        <v>1823</v>
      </c>
      <c r="F304" s="691"/>
      <c r="G304" s="691"/>
      <c r="H304" s="687"/>
      <c r="I304" s="653" t="s">
        <v>537</v>
      </c>
      <c r="J304" s="653" t="s">
        <v>91</v>
      </c>
      <c r="K304" s="654">
        <v>1823</v>
      </c>
      <c r="L304" s="653">
        <f>ROUND(K304,0)</f>
        <v>1823</v>
      </c>
    </row>
    <row r="305" ht="20.1" customHeight="1" spans="1:12">
      <c r="A305" s="688" t="s">
        <v>93</v>
      </c>
      <c r="B305" s="689">
        <v>151</v>
      </c>
      <c r="C305" s="140">
        <v>30</v>
      </c>
      <c r="D305" s="692">
        <v>53</v>
      </c>
      <c r="E305" s="692">
        <v>53</v>
      </c>
      <c r="F305" s="691"/>
      <c r="G305" s="691"/>
      <c r="H305" s="687"/>
      <c r="I305" s="653" t="s">
        <v>538</v>
      </c>
      <c r="J305" s="653" t="s">
        <v>93</v>
      </c>
      <c r="K305" s="654">
        <v>53</v>
      </c>
      <c r="L305" s="653">
        <f>ROUND(K305,0)</f>
        <v>53</v>
      </c>
    </row>
    <row r="306" ht="20.1" customHeight="1" spans="1:12">
      <c r="A306" s="688" t="s">
        <v>539</v>
      </c>
      <c r="B306" s="689">
        <v>1001</v>
      </c>
      <c r="C306" s="140">
        <v>190</v>
      </c>
      <c r="D306" s="692">
        <v>913</v>
      </c>
      <c r="E306" s="692">
        <v>913</v>
      </c>
      <c r="F306" s="691"/>
      <c r="G306" s="691"/>
      <c r="H306" s="687"/>
      <c r="I306" s="653" t="s">
        <v>540</v>
      </c>
      <c r="J306" s="653" t="s">
        <v>539</v>
      </c>
      <c r="K306" s="654">
        <v>913</v>
      </c>
      <c r="L306" s="653">
        <f>ROUND(K306,0)</f>
        <v>913</v>
      </c>
    </row>
    <row r="307" ht="20.1" customHeight="1" spans="1:8">
      <c r="A307" s="682" t="s">
        <v>541</v>
      </c>
      <c r="B307" s="683">
        <f>SUM(B308:B311)</f>
        <v>4373</v>
      </c>
      <c r="C307" s="684">
        <f>SUM(C308:C311)</f>
        <v>4771</v>
      </c>
      <c r="D307" s="685">
        <f>SUM(D308:D311)</f>
        <v>4640</v>
      </c>
      <c r="E307" s="685">
        <f>SUM(E308:E311)</f>
        <v>4640</v>
      </c>
      <c r="F307" s="691"/>
      <c r="G307" s="691"/>
      <c r="H307" s="687"/>
    </row>
    <row r="308" ht="20.1" customHeight="1" spans="1:12">
      <c r="A308" s="688" t="s">
        <v>542</v>
      </c>
      <c r="B308" s="689">
        <v>1520</v>
      </c>
      <c r="C308" s="140">
        <v>1095</v>
      </c>
      <c r="D308" s="692">
        <v>1289</v>
      </c>
      <c r="E308" s="692">
        <v>1289</v>
      </c>
      <c r="F308" s="691"/>
      <c r="G308" s="691"/>
      <c r="H308" s="687"/>
      <c r="I308" s="653" t="s">
        <v>543</v>
      </c>
      <c r="J308" s="653" t="s">
        <v>542</v>
      </c>
      <c r="K308" s="654">
        <v>1289</v>
      </c>
      <c r="L308" s="653">
        <f>ROUND(K308,0)</f>
        <v>1289</v>
      </c>
    </row>
    <row r="309" ht="20.1" customHeight="1" spans="1:12">
      <c r="A309" s="688" t="s">
        <v>544</v>
      </c>
      <c r="B309" s="689">
        <v>498</v>
      </c>
      <c r="C309" s="140">
        <v>541</v>
      </c>
      <c r="D309" s="692">
        <v>541</v>
      </c>
      <c r="E309" s="692">
        <v>541</v>
      </c>
      <c r="F309" s="691"/>
      <c r="G309" s="691"/>
      <c r="H309" s="687"/>
      <c r="I309" s="653" t="s">
        <v>545</v>
      </c>
      <c r="J309" s="653" t="s">
        <v>546</v>
      </c>
      <c r="K309" s="654">
        <v>541</v>
      </c>
      <c r="L309" s="653">
        <f>ROUND(K309,0)</f>
        <v>541</v>
      </c>
    </row>
    <row r="310" ht="20.1" customHeight="1" spans="1:12">
      <c r="A310" s="688" t="s">
        <v>547</v>
      </c>
      <c r="B310" s="689">
        <v>1404</v>
      </c>
      <c r="C310" s="140">
        <v>1777</v>
      </c>
      <c r="D310" s="692">
        <v>1749</v>
      </c>
      <c r="E310" s="692">
        <v>1749</v>
      </c>
      <c r="F310" s="691"/>
      <c r="G310" s="691"/>
      <c r="H310" s="687"/>
      <c r="I310" s="653" t="s">
        <v>548</v>
      </c>
      <c r="J310" s="653" t="s">
        <v>547</v>
      </c>
      <c r="K310" s="654">
        <v>1749</v>
      </c>
      <c r="L310" s="653">
        <f>ROUND(K310,0)</f>
        <v>1749</v>
      </c>
    </row>
    <row r="311" ht="20.1" customHeight="1" spans="1:12">
      <c r="A311" s="688" t="s">
        <v>549</v>
      </c>
      <c r="B311" s="689">
        <v>951</v>
      </c>
      <c r="C311" s="140">
        <v>1358</v>
      </c>
      <c r="D311" s="692">
        <v>1061</v>
      </c>
      <c r="E311" s="692">
        <v>1061</v>
      </c>
      <c r="F311" s="691"/>
      <c r="G311" s="691"/>
      <c r="H311" s="687"/>
      <c r="I311" s="653" t="s">
        <v>550</v>
      </c>
      <c r="J311" s="653" t="s">
        <v>549</v>
      </c>
      <c r="K311" s="654">
        <v>1061</v>
      </c>
      <c r="L311" s="653">
        <f>ROUND(K311,0)</f>
        <v>1061</v>
      </c>
    </row>
    <row r="312" ht="20.1" customHeight="1" spans="1:8">
      <c r="A312" s="682" t="s">
        <v>551</v>
      </c>
      <c r="B312" s="683">
        <f>SUM(B313:B314)</f>
        <v>11406</v>
      </c>
      <c r="C312" s="684">
        <f>SUM(C313:C314)</f>
        <v>10724</v>
      </c>
      <c r="D312" s="685">
        <f>SUM(D313:D314)</f>
        <v>7062</v>
      </c>
      <c r="E312" s="685">
        <f>SUM(E313:E314)</f>
        <v>7062</v>
      </c>
      <c r="F312" s="691"/>
      <c r="G312" s="691"/>
      <c r="H312" s="687"/>
    </row>
    <row r="313" ht="20.1" customHeight="1" spans="1:12">
      <c r="A313" s="688" t="s">
        <v>552</v>
      </c>
      <c r="B313" s="689">
        <v>10933</v>
      </c>
      <c r="C313" s="140">
        <v>10674</v>
      </c>
      <c r="D313" s="692">
        <v>6794</v>
      </c>
      <c r="E313" s="692">
        <v>6794</v>
      </c>
      <c r="F313" s="686"/>
      <c r="G313" s="686"/>
      <c r="H313" s="687"/>
      <c r="I313" s="653" t="s">
        <v>553</v>
      </c>
      <c r="J313" s="653" t="s">
        <v>552</v>
      </c>
      <c r="K313" s="654">
        <v>6794</v>
      </c>
      <c r="L313" s="653">
        <f>ROUND(K313,0)</f>
        <v>6794</v>
      </c>
    </row>
    <row r="314" ht="20.1" customHeight="1" spans="1:12">
      <c r="A314" s="688" t="s">
        <v>554</v>
      </c>
      <c r="B314" s="689">
        <v>473</v>
      </c>
      <c r="C314" s="140">
        <v>50</v>
      </c>
      <c r="D314" s="692">
        <v>268</v>
      </c>
      <c r="E314" s="692">
        <v>268</v>
      </c>
      <c r="F314" s="686"/>
      <c r="G314" s="686"/>
      <c r="H314" s="687"/>
      <c r="I314" s="653" t="s">
        <v>555</v>
      </c>
      <c r="J314" s="653" t="s">
        <v>554</v>
      </c>
      <c r="K314" s="654">
        <v>268</v>
      </c>
      <c r="L314" s="653">
        <f>ROUND(K314,0)</f>
        <v>268</v>
      </c>
    </row>
    <row r="315" ht="20.1" customHeight="1" spans="1:8">
      <c r="A315" s="682" t="s">
        <v>556</v>
      </c>
      <c r="B315" s="683">
        <f>SUM(B316:B321)</f>
        <v>19302</v>
      </c>
      <c r="C315" s="684">
        <f>SUM(C316:C321)</f>
        <v>43539</v>
      </c>
      <c r="D315" s="685">
        <f>SUM(D316:D321)</f>
        <v>28117</v>
      </c>
      <c r="E315" s="685">
        <f>SUM(E316:E321)</f>
        <v>28117</v>
      </c>
      <c r="F315" s="686"/>
      <c r="G315" s="686"/>
      <c r="H315" s="687"/>
    </row>
    <row r="316" ht="20.1" customHeight="1" spans="1:12">
      <c r="A316" s="688" t="s">
        <v>557</v>
      </c>
      <c r="B316" s="689">
        <v>1591</v>
      </c>
      <c r="C316" s="140">
        <v>1960</v>
      </c>
      <c r="D316" s="692">
        <v>1983</v>
      </c>
      <c r="E316" s="692">
        <v>1983</v>
      </c>
      <c r="F316" s="686"/>
      <c r="G316" s="686"/>
      <c r="H316" s="687"/>
      <c r="I316" s="653" t="s">
        <v>558</v>
      </c>
      <c r="J316" s="653" t="s">
        <v>557</v>
      </c>
      <c r="K316" s="654">
        <v>1983</v>
      </c>
      <c r="L316" s="653">
        <f t="shared" ref="L316:L321" si="8">ROUND(K316,0)</f>
        <v>1983</v>
      </c>
    </row>
    <row r="317" ht="20.1" customHeight="1" spans="1:12">
      <c r="A317" s="688" t="s">
        <v>559</v>
      </c>
      <c r="B317" s="689">
        <v>318</v>
      </c>
      <c r="C317" s="140">
        <v>378</v>
      </c>
      <c r="D317" s="692">
        <v>427</v>
      </c>
      <c r="E317" s="692">
        <v>427</v>
      </c>
      <c r="F317" s="686"/>
      <c r="G317" s="686"/>
      <c r="H317" s="687"/>
      <c r="I317" s="653" t="s">
        <v>560</v>
      </c>
      <c r="J317" s="653" t="s">
        <v>559</v>
      </c>
      <c r="K317" s="654">
        <v>427</v>
      </c>
      <c r="L317" s="653">
        <f t="shared" si="8"/>
        <v>427</v>
      </c>
    </row>
    <row r="318" ht="19.5" customHeight="1" spans="1:12">
      <c r="A318" s="688" t="s">
        <v>561</v>
      </c>
      <c r="B318" s="689"/>
      <c r="C318" s="140"/>
      <c r="D318" s="692">
        <v>5</v>
      </c>
      <c r="E318" s="692">
        <v>5</v>
      </c>
      <c r="F318" s="686"/>
      <c r="G318" s="686"/>
      <c r="H318" s="687"/>
      <c r="I318" s="653" t="s">
        <v>562</v>
      </c>
      <c r="J318" s="653" t="s">
        <v>561</v>
      </c>
      <c r="K318" s="654">
        <v>5</v>
      </c>
      <c r="L318" s="653">
        <f t="shared" si="8"/>
        <v>5</v>
      </c>
    </row>
    <row r="319" ht="19.5" customHeight="1" spans="1:12">
      <c r="A319" s="688" t="s">
        <v>563</v>
      </c>
      <c r="B319" s="689">
        <v>4590</v>
      </c>
      <c r="C319" s="140">
        <v>36500</v>
      </c>
      <c r="D319" s="692">
        <v>5243</v>
      </c>
      <c r="E319" s="692">
        <v>5243</v>
      </c>
      <c r="F319" s="686"/>
      <c r="G319" s="686"/>
      <c r="H319" s="687"/>
      <c r="I319" s="653" t="s">
        <v>564</v>
      </c>
      <c r="J319" s="653" t="s">
        <v>563</v>
      </c>
      <c r="K319" s="654">
        <v>5243</v>
      </c>
      <c r="L319" s="653">
        <f t="shared" si="8"/>
        <v>5243</v>
      </c>
    </row>
    <row r="320" ht="19.5" customHeight="1" spans="1:12">
      <c r="A320" s="688" t="s">
        <v>565</v>
      </c>
      <c r="B320" s="696">
        <v>12248</v>
      </c>
      <c r="C320" s="140">
        <v>4581</v>
      </c>
      <c r="D320" s="692">
        <v>20270</v>
      </c>
      <c r="E320" s="692">
        <v>20270</v>
      </c>
      <c r="F320" s="686"/>
      <c r="G320" s="686"/>
      <c r="H320" s="687"/>
      <c r="I320" s="653" t="s">
        <v>566</v>
      </c>
      <c r="J320" s="653" t="s">
        <v>565</v>
      </c>
      <c r="K320" s="654">
        <v>20270</v>
      </c>
      <c r="L320" s="653">
        <f t="shared" si="8"/>
        <v>20270</v>
      </c>
    </row>
    <row r="321" ht="20.1" customHeight="1" spans="1:12">
      <c r="A321" s="688" t="s">
        <v>567</v>
      </c>
      <c r="B321" s="696">
        <v>555</v>
      </c>
      <c r="C321" s="140">
        <v>120</v>
      </c>
      <c r="D321" s="692">
        <v>189</v>
      </c>
      <c r="E321" s="692">
        <v>189</v>
      </c>
      <c r="F321" s="704"/>
      <c r="G321" s="704"/>
      <c r="H321" s="706"/>
      <c r="I321" s="653" t="s">
        <v>568</v>
      </c>
      <c r="J321" s="653" t="s">
        <v>567</v>
      </c>
      <c r="K321" s="654">
        <v>189</v>
      </c>
      <c r="L321" s="653">
        <f t="shared" si="8"/>
        <v>189</v>
      </c>
    </row>
    <row r="322" ht="20.1" customHeight="1" spans="1:8">
      <c r="A322" s="682" t="s">
        <v>569</v>
      </c>
      <c r="B322" s="682"/>
      <c r="C322" s="682"/>
      <c r="D322" s="685">
        <f>SUM(D323)</f>
        <v>18</v>
      </c>
      <c r="E322" s="685">
        <f>SUM(E323)</f>
        <v>18</v>
      </c>
      <c r="F322" s="682"/>
      <c r="G322" s="682"/>
      <c r="H322" s="682"/>
    </row>
    <row r="323" ht="20.1" customHeight="1" spans="1:12">
      <c r="A323" s="688" t="s">
        <v>570</v>
      </c>
      <c r="B323" s="723"/>
      <c r="C323" s="723"/>
      <c r="D323" s="723">
        <v>18</v>
      </c>
      <c r="E323" s="723">
        <v>18</v>
      </c>
      <c r="F323" s="682"/>
      <c r="G323" s="682"/>
      <c r="H323" s="682"/>
      <c r="I323" s="653" t="s">
        <v>571</v>
      </c>
      <c r="J323" s="653" t="s">
        <v>570</v>
      </c>
      <c r="K323" s="654">
        <v>18</v>
      </c>
      <c r="L323" s="653">
        <f>ROUND(K323,0)</f>
        <v>18</v>
      </c>
    </row>
    <row r="324" ht="20.1" customHeight="1" spans="1:8">
      <c r="A324" s="682" t="s">
        <v>572</v>
      </c>
      <c r="B324" s="683">
        <f>SUM(B325:B327)</f>
        <v>5581</v>
      </c>
      <c r="C324" s="684">
        <f>SUM(C325:C327)</f>
        <v>7673</v>
      </c>
      <c r="D324" s="685">
        <f>SUM(D325:D327)</f>
        <v>2728</v>
      </c>
      <c r="E324" s="685">
        <f>SUM(E325:E327)</f>
        <v>2728</v>
      </c>
      <c r="F324" s="704"/>
      <c r="G324" s="704"/>
      <c r="H324" s="706"/>
    </row>
    <row r="325" ht="20.1" customHeight="1" spans="1:12">
      <c r="A325" s="688" t="s">
        <v>573</v>
      </c>
      <c r="B325" s="689">
        <v>111</v>
      </c>
      <c r="C325" s="140">
        <v>125</v>
      </c>
      <c r="D325" s="692">
        <v>164</v>
      </c>
      <c r="E325" s="692">
        <v>164</v>
      </c>
      <c r="F325" s="686"/>
      <c r="G325" s="686"/>
      <c r="H325" s="687"/>
      <c r="I325" s="653" t="s">
        <v>574</v>
      </c>
      <c r="J325" s="653" t="s">
        <v>573</v>
      </c>
      <c r="K325" s="654">
        <v>164</v>
      </c>
      <c r="L325" s="653">
        <f>ROUND(K325,0)</f>
        <v>164</v>
      </c>
    </row>
    <row r="326" ht="20.1" customHeight="1" spans="1:12">
      <c r="A326" s="688" t="s">
        <v>575</v>
      </c>
      <c r="B326" s="689">
        <v>4982</v>
      </c>
      <c r="C326" s="140">
        <v>7074</v>
      </c>
      <c r="D326" s="692">
        <v>2074</v>
      </c>
      <c r="E326" s="692">
        <v>2074</v>
      </c>
      <c r="F326" s="686"/>
      <c r="G326" s="686"/>
      <c r="H326" s="687"/>
      <c r="I326" s="653" t="s">
        <v>576</v>
      </c>
      <c r="J326" s="653" t="s">
        <v>575</v>
      </c>
      <c r="K326" s="654">
        <v>2074</v>
      </c>
      <c r="L326" s="653">
        <f>ROUND(K326,0)</f>
        <v>2074</v>
      </c>
    </row>
    <row r="327" ht="19.5" customHeight="1" spans="1:12">
      <c r="A327" s="688" t="s">
        <v>577</v>
      </c>
      <c r="B327" s="689">
        <v>488</v>
      </c>
      <c r="C327" s="140">
        <v>474</v>
      </c>
      <c r="D327" s="692">
        <v>490</v>
      </c>
      <c r="E327" s="692">
        <v>490</v>
      </c>
      <c r="F327" s="686"/>
      <c r="G327" s="686"/>
      <c r="H327" s="687"/>
      <c r="I327" s="653" t="s">
        <v>578</v>
      </c>
      <c r="J327" s="653" t="s">
        <v>577</v>
      </c>
      <c r="K327" s="654">
        <v>490</v>
      </c>
      <c r="L327" s="653">
        <f>ROUND(K327,0)</f>
        <v>490</v>
      </c>
    </row>
    <row r="328" ht="20.1" customHeight="1" spans="1:8">
      <c r="A328" s="682" t="s">
        <v>579</v>
      </c>
      <c r="B328" s="683">
        <f>SUM(B329:B330)</f>
        <v>10112</v>
      </c>
      <c r="C328" s="684">
        <f>SUM(C329:C330)</f>
        <v>12374</v>
      </c>
      <c r="D328" s="685">
        <f>SUM(D329:D330)</f>
        <v>13079</v>
      </c>
      <c r="E328" s="685">
        <f>SUM(E329:E330)</f>
        <v>13079</v>
      </c>
      <c r="F328" s="686"/>
      <c r="G328" s="686"/>
      <c r="H328" s="687"/>
    </row>
    <row r="329" ht="20.1" customHeight="1" spans="1:12">
      <c r="A329" s="688" t="s">
        <v>580</v>
      </c>
      <c r="B329" s="689">
        <v>1850</v>
      </c>
      <c r="C329" s="140">
        <v>2115</v>
      </c>
      <c r="D329" s="692">
        <v>2330</v>
      </c>
      <c r="E329" s="692">
        <v>2330</v>
      </c>
      <c r="F329" s="686"/>
      <c r="G329" s="686"/>
      <c r="H329" s="687"/>
      <c r="I329" s="653" t="s">
        <v>581</v>
      </c>
      <c r="J329" s="653" t="s">
        <v>580</v>
      </c>
      <c r="K329" s="654">
        <v>2330</v>
      </c>
      <c r="L329" s="653">
        <f>ROUND(K329,0)</f>
        <v>2330</v>
      </c>
    </row>
    <row r="330" ht="20.1" customHeight="1" spans="1:12">
      <c r="A330" s="688" t="s">
        <v>582</v>
      </c>
      <c r="B330" s="689">
        <v>8262</v>
      </c>
      <c r="C330" s="140">
        <v>10259</v>
      </c>
      <c r="D330" s="692">
        <v>10749</v>
      </c>
      <c r="E330" s="692">
        <v>10749</v>
      </c>
      <c r="F330" s="691"/>
      <c r="G330" s="691"/>
      <c r="H330" s="687"/>
      <c r="I330" s="653" t="s">
        <v>583</v>
      </c>
      <c r="J330" s="653" t="s">
        <v>582</v>
      </c>
      <c r="K330" s="654">
        <v>10749</v>
      </c>
      <c r="L330" s="653">
        <f>ROUND(K330,0)</f>
        <v>10749</v>
      </c>
    </row>
    <row r="331" ht="20.1" customHeight="1" spans="1:8">
      <c r="A331" s="682" t="s">
        <v>584</v>
      </c>
      <c r="B331" s="683">
        <f>B332</f>
        <v>31345</v>
      </c>
      <c r="C331" s="684">
        <f>C332</f>
        <v>34245</v>
      </c>
      <c r="D331" s="685">
        <f>SUM(D332)</f>
        <v>22101</v>
      </c>
      <c r="E331" s="685">
        <f>SUM(E332)</f>
        <v>22101</v>
      </c>
      <c r="F331" s="691"/>
      <c r="G331" s="691"/>
      <c r="H331" s="687"/>
    </row>
    <row r="332" s="644" customFormat="1" ht="20.1" customHeight="1" spans="1:125">
      <c r="A332" s="695" t="s">
        <v>585</v>
      </c>
      <c r="B332" s="689">
        <v>31345</v>
      </c>
      <c r="C332" s="140">
        <v>34245</v>
      </c>
      <c r="D332" s="692">
        <v>22101</v>
      </c>
      <c r="E332" s="692">
        <v>22101</v>
      </c>
      <c r="F332" s="691"/>
      <c r="G332" s="691"/>
      <c r="H332" s="687"/>
      <c r="I332" s="653" t="s">
        <v>586</v>
      </c>
      <c r="J332" s="653" t="s">
        <v>585</v>
      </c>
      <c r="K332" s="654">
        <v>22101</v>
      </c>
      <c r="L332" s="653">
        <f>ROUND(K332,0)</f>
        <v>22101</v>
      </c>
      <c r="M332" s="645"/>
      <c r="N332" s="645"/>
      <c r="O332" s="645"/>
      <c r="P332" s="645"/>
      <c r="Q332" s="645"/>
      <c r="R332" s="645"/>
      <c r="S332" s="645"/>
      <c r="T332" s="645"/>
      <c r="U332" s="645"/>
      <c r="V332" s="645"/>
      <c r="W332" s="645"/>
      <c r="X332" s="645"/>
      <c r="Y332" s="645"/>
      <c r="Z332" s="645"/>
      <c r="AA332" s="645"/>
      <c r="AB332" s="645"/>
      <c r="AC332" s="645"/>
      <c r="AD332" s="645"/>
      <c r="AE332" s="645"/>
      <c r="AF332" s="645"/>
      <c r="AG332" s="645"/>
      <c r="AH332" s="645"/>
      <c r="AI332" s="645"/>
      <c r="AJ332" s="645"/>
      <c r="AK332" s="645"/>
      <c r="AL332" s="645"/>
      <c r="AM332" s="645"/>
      <c r="AN332" s="645"/>
      <c r="AO332" s="645"/>
      <c r="AP332" s="645"/>
      <c r="AQ332" s="645"/>
      <c r="AR332" s="645"/>
      <c r="AS332" s="645"/>
      <c r="AT332" s="645"/>
      <c r="AU332" s="645"/>
      <c r="AV332" s="645"/>
      <c r="AW332" s="645"/>
      <c r="AX332" s="645"/>
      <c r="AY332" s="645"/>
      <c r="AZ332" s="645"/>
      <c r="BA332" s="645"/>
      <c r="BB332" s="645"/>
      <c r="BC332" s="645"/>
      <c r="BD332" s="645"/>
      <c r="BE332" s="645"/>
      <c r="BF332" s="645"/>
      <c r="BG332" s="645"/>
      <c r="BH332" s="645"/>
      <c r="BI332" s="645"/>
      <c r="BJ332" s="645"/>
      <c r="BK332" s="645"/>
      <c r="BL332" s="645"/>
      <c r="BM332" s="645"/>
      <c r="BN332" s="645"/>
      <c r="BO332" s="645"/>
      <c r="BP332" s="645"/>
      <c r="BQ332" s="645"/>
      <c r="BR332" s="645"/>
      <c r="BS332" s="645"/>
      <c r="BT332" s="645"/>
      <c r="BU332" s="645"/>
      <c r="BV332" s="645"/>
      <c r="BW332" s="645"/>
      <c r="BX332" s="645"/>
      <c r="BY332" s="645"/>
      <c r="BZ332" s="645"/>
      <c r="CA332" s="645"/>
      <c r="CB332" s="645"/>
      <c r="CC332" s="645"/>
      <c r="CD332" s="645"/>
      <c r="CE332" s="645"/>
      <c r="CF332" s="645"/>
      <c r="CG332" s="645"/>
      <c r="CH332" s="645"/>
      <c r="CI332" s="645"/>
      <c r="CJ332" s="645"/>
      <c r="CK332" s="645"/>
      <c r="CL332" s="645"/>
      <c r="CM332" s="645"/>
      <c r="CN332" s="645"/>
      <c r="CO332" s="645"/>
      <c r="CP332" s="645"/>
      <c r="CQ332" s="645"/>
      <c r="CR332" s="645"/>
      <c r="CS332" s="645"/>
      <c r="CT332" s="645"/>
      <c r="CU332" s="645"/>
      <c r="CV332" s="645"/>
      <c r="CW332" s="645"/>
      <c r="CX332" s="645"/>
      <c r="CY332" s="645"/>
      <c r="CZ332" s="645"/>
      <c r="DA332" s="645"/>
      <c r="DB332" s="645"/>
      <c r="DC332" s="645"/>
      <c r="DD332" s="645"/>
      <c r="DE332" s="645"/>
      <c r="DF332" s="645"/>
      <c r="DG332" s="645"/>
      <c r="DH332" s="645"/>
      <c r="DI332" s="645"/>
      <c r="DJ332" s="645"/>
      <c r="DK332" s="645"/>
      <c r="DL332" s="645"/>
      <c r="DM332" s="645"/>
      <c r="DN332" s="645"/>
      <c r="DO332" s="645"/>
      <c r="DP332" s="645"/>
      <c r="DQ332" s="645"/>
      <c r="DR332" s="645"/>
      <c r="DS332" s="645"/>
      <c r="DT332" s="645"/>
      <c r="DU332" s="645"/>
    </row>
    <row r="333" ht="20.1" customHeight="1" spans="1:8">
      <c r="A333" s="682" t="s">
        <v>587</v>
      </c>
      <c r="B333" s="683">
        <f>B334</f>
        <v>600</v>
      </c>
      <c r="C333" s="683">
        <f>C334</f>
        <v>1300</v>
      </c>
      <c r="D333" s="683">
        <f>D334</f>
        <v>1300</v>
      </c>
      <c r="E333" s="683">
        <f>E334</f>
        <v>1300</v>
      </c>
      <c r="F333" s="691"/>
      <c r="G333" s="691"/>
      <c r="H333" s="687"/>
    </row>
    <row r="334" ht="20.1" customHeight="1" spans="1:12">
      <c r="A334" s="688" t="s">
        <v>588</v>
      </c>
      <c r="B334" s="696">
        <v>600</v>
      </c>
      <c r="C334" s="703">
        <v>1300</v>
      </c>
      <c r="D334" s="692">
        <v>1300</v>
      </c>
      <c r="E334" s="692">
        <v>1300</v>
      </c>
      <c r="F334" s="686"/>
      <c r="G334" s="686"/>
      <c r="H334" s="687"/>
      <c r="I334" s="653" t="s">
        <v>589</v>
      </c>
      <c r="J334" s="653" t="s">
        <v>588</v>
      </c>
      <c r="K334" s="654">
        <v>1300</v>
      </c>
      <c r="L334" s="653">
        <f>ROUND(K334,0)</f>
        <v>1300</v>
      </c>
    </row>
    <row r="335" ht="20.1" customHeight="1" spans="1:8">
      <c r="A335" s="682" t="s">
        <v>590</v>
      </c>
      <c r="B335" s="724">
        <f>B336</f>
        <v>0</v>
      </c>
      <c r="C335" s="724">
        <f>C336</f>
        <v>42</v>
      </c>
      <c r="D335" s="724">
        <f>D336</f>
        <v>118</v>
      </c>
      <c r="E335" s="724">
        <f>E336</f>
        <v>118</v>
      </c>
      <c r="F335" s="686"/>
      <c r="G335" s="686"/>
      <c r="H335" s="711"/>
    </row>
    <row r="336" ht="20.1" customHeight="1" spans="1:12">
      <c r="A336" s="688" t="s">
        <v>591</v>
      </c>
      <c r="B336" s="696"/>
      <c r="C336" s="703">
        <v>42</v>
      </c>
      <c r="D336" s="692">
        <v>118</v>
      </c>
      <c r="E336" s="692">
        <v>118</v>
      </c>
      <c r="F336" s="686"/>
      <c r="G336" s="686"/>
      <c r="H336" s="687"/>
      <c r="I336" s="653" t="s">
        <v>592</v>
      </c>
      <c r="J336" s="653" t="s">
        <v>591</v>
      </c>
      <c r="K336" s="654">
        <v>118</v>
      </c>
      <c r="L336" s="653">
        <f>ROUND(K336,0)</f>
        <v>118</v>
      </c>
    </row>
    <row r="337" ht="20.1" customHeight="1" spans="1:12">
      <c r="A337" s="682" t="s">
        <v>593</v>
      </c>
      <c r="B337" s="724">
        <f>B338</f>
        <v>2</v>
      </c>
      <c r="C337" s="724">
        <f>C338</f>
        <v>20</v>
      </c>
      <c r="D337" s="724">
        <f>D338</f>
        <v>20</v>
      </c>
      <c r="E337" s="724">
        <f>E338</f>
        <v>20</v>
      </c>
      <c r="F337" s="686"/>
      <c r="G337" s="686"/>
      <c r="H337" s="687"/>
      <c r="I337" s="653" t="s">
        <v>594</v>
      </c>
      <c r="J337" s="653" t="s">
        <v>595</v>
      </c>
      <c r="K337" s="654">
        <v>0</v>
      </c>
      <c r="L337" s="653">
        <f>ROUND(K337,0)</f>
        <v>0</v>
      </c>
    </row>
    <row r="338" ht="20.1" customHeight="1" spans="1:12">
      <c r="A338" s="688" t="s">
        <v>596</v>
      </c>
      <c r="B338" s="696">
        <v>2</v>
      </c>
      <c r="C338" s="703">
        <v>20</v>
      </c>
      <c r="D338" s="692">
        <v>20</v>
      </c>
      <c r="E338" s="692">
        <v>20</v>
      </c>
      <c r="F338" s="686"/>
      <c r="G338" s="686"/>
      <c r="H338" s="687"/>
      <c r="I338" s="653" t="s">
        <v>597</v>
      </c>
      <c r="J338" s="653" t="s">
        <v>146</v>
      </c>
      <c r="K338" s="654">
        <v>20</v>
      </c>
      <c r="L338" s="653">
        <f>ROUND(K338,0)</f>
        <v>20</v>
      </c>
    </row>
    <row r="339" ht="20.1" customHeight="1" spans="1:8">
      <c r="A339" s="682" t="s">
        <v>598</v>
      </c>
      <c r="B339" s="683">
        <f>B340</f>
        <v>60</v>
      </c>
      <c r="C339" s="684">
        <f>C340</f>
        <v>45</v>
      </c>
      <c r="D339" s="685">
        <f>SUM(D340)</f>
        <v>0</v>
      </c>
      <c r="E339" s="685"/>
      <c r="F339" s="686"/>
      <c r="G339" s="686"/>
      <c r="H339" s="687"/>
    </row>
    <row r="340" ht="21" customHeight="1" spans="1:8">
      <c r="A340" s="688" t="s">
        <v>599</v>
      </c>
      <c r="B340" s="696">
        <v>60</v>
      </c>
      <c r="C340" s="693">
        <v>45</v>
      </c>
      <c r="D340" s="692"/>
      <c r="E340" s="692"/>
      <c r="F340" s="691"/>
      <c r="G340" s="691"/>
      <c r="H340" s="687"/>
    </row>
    <row r="341" ht="20.1" customHeight="1" spans="1:8">
      <c r="A341" s="682" t="s">
        <v>600</v>
      </c>
      <c r="B341" s="683">
        <f>B342</f>
        <v>105</v>
      </c>
      <c r="C341" s="684">
        <v>0</v>
      </c>
      <c r="D341" s="685">
        <f>SUM(D342)</f>
        <v>54</v>
      </c>
      <c r="E341" s="685">
        <f>SUM(E342)</f>
        <v>54</v>
      </c>
      <c r="F341" s="686"/>
      <c r="G341" s="691"/>
      <c r="H341" s="687"/>
    </row>
    <row r="342" ht="20.1" customHeight="1" spans="1:12">
      <c r="A342" s="688" t="s">
        <v>601</v>
      </c>
      <c r="B342" s="696">
        <v>105</v>
      </c>
      <c r="C342" s="703">
        <v>0</v>
      </c>
      <c r="D342" s="692">
        <v>54</v>
      </c>
      <c r="E342" s="692">
        <v>54</v>
      </c>
      <c r="F342" s="691"/>
      <c r="G342" s="691"/>
      <c r="H342" s="687"/>
      <c r="I342" s="653" t="s">
        <v>602</v>
      </c>
      <c r="J342" s="653" t="s">
        <v>601</v>
      </c>
      <c r="K342" s="654">
        <v>54</v>
      </c>
      <c r="L342" s="653">
        <f>ROUND(K342,0)</f>
        <v>54</v>
      </c>
    </row>
    <row r="343" ht="56" customHeight="1" spans="1:12">
      <c r="A343" s="676" t="s">
        <v>603</v>
      </c>
      <c r="B343" s="725">
        <f>SUM(B344+B347+B350+B352+B357)</f>
        <v>1565</v>
      </c>
      <c r="C343" s="720">
        <f>SUM(C344+C347+C350+C352)</f>
        <v>2592</v>
      </c>
      <c r="D343" s="721">
        <f>SUM(D344+D347+D350+D352)+D355+D357</f>
        <v>2989</v>
      </c>
      <c r="E343" s="721">
        <f>SUM(E344+E347+E350+E352)+E355+E357</f>
        <v>2989</v>
      </c>
      <c r="F343" s="704">
        <f>E343/D343*100</f>
        <v>100</v>
      </c>
      <c r="G343" s="704">
        <f>(E343/B343-1)*100</f>
        <v>90.9904153354633</v>
      </c>
      <c r="H343" s="722" t="s">
        <v>604</v>
      </c>
      <c r="I343" s="697"/>
      <c r="J343" s="697"/>
      <c r="K343" s="698"/>
      <c r="L343" s="697"/>
    </row>
    <row r="344" ht="20.1" customHeight="1" spans="1:8">
      <c r="A344" s="682" t="s">
        <v>605</v>
      </c>
      <c r="B344" s="683">
        <f>SUM(B345:B346)</f>
        <v>290</v>
      </c>
      <c r="C344" s="684">
        <f>SUM(C345:C346)</f>
        <v>283</v>
      </c>
      <c r="D344" s="685">
        <f>SUM(D345:D346)</f>
        <v>292</v>
      </c>
      <c r="E344" s="685">
        <f>SUM(E345:E346)</f>
        <v>292</v>
      </c>
      <c r="F344" s="704"/>
      <c r="G344" s="704"/>
      <c r="H344" s="717"/>
    </row>
    <row r="345" ht="20.1" customHeight="1" spans="1:12">
      <c r="A345" s="688" t="s">
        <v>93</v>
      </c>
      <c r="B345" s="689">
        <v>280</v>
      </c>
      <c r="C345" s="140">
        <v>283</v>
      </c>
      <c r="D345" s="692">
        <v>292</v>
      </c>
      <c r="E345" s="692">
        <v>292</v>
      </c>
      <c r="F345" s="686"/>
      <c r="G345" s="686"/>
      <c r="H345" s="687"/>
      <c r="I345" s="653" t="s">
        <v>606</v>
      </c>
      <c r="J345" s="653" t="s">
        <v>93</v>
      </c>
      <c r="K345" s="654">
        <v>292</v>
      </c>
      <c r="L345" s="653">
        <f>ROUND(K345,0)</f>
        <v>292</v>
      </c>
    </row>
    <row r="346" spans="1:8">
      <c r="A346" s="688" t="s">
        <v>607</v>
      </c>
      <c r="B346" s="689">
        <v>10</v>
      </c>
      <c r="C346" s="140"/>
      <c r="D346" s="692"/>
      <c r="E346" s="692"/>
      <c r="F346" s="686"/>
      <c r="G346" s="686"/>
      <c r="H346" s="687"/>
    </row>
    <row r="347" ht="20.1" customHeight="1" spans="1:8">
      <c r="A347" s="682" t="s">
        <v>608</v>
      </c>
      <c r="B347" s="683">
        <f>SUM(B348:B349)</f>
        <v>1211</v>
      </c>
      <c r="C347" s="684">
        <f>SUM(C348:C349)</f>
        <v>1109</v>
      </c>
      <c r="D347" s="685">
        <f>SUM(D348:D349)</f>
        <v>1177</v>
      </c>
      <c r="E347" s="685">
        <f>SUM(E348:E349)</f>
        <v>1177</v>
      </c>
      <c r="F347" s="691"/>
      <c r="G347" s="691"/>
      <c r="H347" s="687"/>
    </row>
    <row r="348" ht="20.1" customHeight="1" spans="1:12">
      <c r="A348" s="688" t="s">
        <v>609</v>
      </c>
      <c r="B348" s="689"/>
      <c r="C348" s="703"/>
      <c r="D348" s="692">
        <v>5</v>
      </c>
      <c r="E348" s="692">
        <v>5</v>
      </c>
      <c r="F348" s="686"/>
      <c r="G348" s="686"/>
      <c r="H348" s="687"/>
      <c r="I348" s="653" t="s">
        <v>610</v>
      </c>
      <c r="J348" s="653" t="s">
        <v>609</v>
      </c>
      <c r="K348" s="654">
        <v>5</v>
      </c>
      <c r="L348" s="653">
        <f>ROUND(K348,0)</f>
        <v>5</v>
      </c>
    </row>
    <row r="349" ht="20.1" customHeight="1" spans="1:12">
      <c r="A349" s="688" t="s">
        <v>611</v>
      </c>
      <c r="B349" s="689">
        <v>1211</v>
      </c>
      <c r="C349" s="693">
        <v>1109</v>
      </c>
      <c r="D349" s="692">
        <v>1172</v>
      </c>
      <c r="E349" s="692">
        <v>1172</v>
      </c>
      <c r="F349" s="691"/>
      <c r="G349" s="691"/>
      <c r="H349" s="687"/>
      <c r="I349" s="653" t="s">
        <v>612</v>
      </c>
      <c r="J349" s="653" t="s">
        <v>611</v>
      </c>
      <c r="K349" s="654">
        <v>1172</v>
      </c>
      <c r="L349" s="653">
        <f>ROUND(K349,0)</f>
        <v>1172</v>
      </c>
    </row>
    <row r="350" ht="20.1" customHeight="1" spans="1:8">
      <c r="A350" s="682" t="s">
        <v>613</v>
      </c>
      <c r="B350" s="683">
        <f>B351</f>
        <v>49</v>
      </c>
      <c r="C350" s="684">
        <f>C351</f>
        <v>1200</v>
      </c>
      <c r="D350" s="685">
        <f>SUM(D351)</f>
        <v>1200</v>
      </c>
      <c r="E350" s="685">
        <f>SUM(E351)</f>
        <v>1200</v>
      </c>
      <c r="F350" s="686"/>
      <c r="G350" s="686"/>
      <c r="H350" s="687"/>
    </row>
    <row r="351" ht="20.1" customHeight="1" spans="1:12">
      <c r="A351" s="688" t="s">
        <v>614</v>
      </c>
      <c r="B351" s="689">
        <v>49</v>
      </c>
      <c r="C351" s="703">
        <v>1200</v>
      </c>
      <c r="D351" s="692">
        <v>1200</v>
      </c>
      <c r="E351" s="692">
        <v>1200</v>
      </c>
      <c r="F351" s="691"/>
      <c r="G351" s="691"/>
      <c r="H351" s="687"/>
      <c r="I351" s="653" t="s">
        <v>615</v>
      </c>
      <c r="J351" s="653" t="s">
        <v>614</v>
      </c>
      <c r="K351" s="654">
        <v>1200</v>
      </c>
      <c r="L351" s="653">
        <f>ROUND(K351,0)</f>
        <v>1200</v>
      </c>
    </row>
    <row r="352" ht="20.1" customHeight="1" spans="1:8">
      <c r="A352" s="682" t="s">
        <v>616</v>
      </c>
      <c r="B352" s="683">
        <f>SUM(B353:B354)</f>
        <v>5</v>
      </c>
      <c r="C352" s="684">
        <f>SUM(C353:C354)</f>
        <v>0</v>
      </c>
      <c r="D352" s="685">
        <f>SUM(D353:D354)</f>
        <v>20</v>
      </c>
      <c r="E352" s="685">
        <f>SUM(E353:E354)</f>
        <v>20</v>
      </c>
      <c r="F352" s="691"/>
      <c r="G352" s="691"/>
      <c r="H352" s="687"/>
    </row>
    <row r="353" ht="20.1" customHeight="1" spans="1:12">
      <c r="A353" s="688" t="s">
        <v>617</v>
      </c>
      <c r="B353" s="696">
        <v>5</v>
      </c>
      <c r="C353" s="703"/>
      <c r="D353" s="692">
        <v>15</v>
      </c>
      <c r="E353" s="692">
        <v>15</v>
      </c>
      <c r="F353" s="704"/>
      <c r="G353" s="704"/>
      <c r="H353" s="687"/>
      <c r="I353" s="653" t="s">
        <v>618</v>
      </c>
      <c r="J353" s="653" t="s">
        <v>617</v>
      </c>
      <c r="K353" s="654">
        <v>15</v>
      </c>
      <c r="L353" s="653">
        <f>ROUND(K353,0)</f>
        <v>15</v>
      </c>
    </row>
    <row r="354" ht="20.1" customHeight="1" spans="1:12">
      <c r="A354" s="688" t="s">
        <v>619</v>
      </c>
      <c r="B354" s="696"/>
      <c r="C354" s="703"/>
      <c r="D354" s="692">
        <v>5</v>
      </c>
      <c r="E354" s="692">
        <v>5</v>
      </c>
      <c r="F354" s="686"/>
      <c r="G354" s="686"/>
      <c r="H354" s="687"/>
      <c r="I354" s="653" t="s">
        <v>620</v>
      </c>
      <c r="J354" s="653" t="s">
        <v>619</v>
      </c>
      <c r="K354" s="654">
        <v>5</v>
      </c>
      <c r="L354" s="653">
        <f>ROUND(K354,0)</f>
        <v>5</v>
      </c>
    </row>
    <row r="355" ht="20.1" customHeight="1" spans="1:8">
      <c r="A355" s="682" t="s">
        <v>621</v>
      </c>
      <c r="B355" s="724"/>
      <c r="C355" s="684"/>
      <c r="D355" s="685">
        <f>D356</f>
        <v>300</v>
      </c>
      <c r="E355" s="685">
        <f>E356</f>
        <v>300</v>
      </c>
      <c r="F355" s="691"/>
      <c r="G355" s="691"/>
      <c r="H355" s="687"/>
    </row>
    <row r="356" ht="20.1" customHeight="1" spans="1:12">
      <c r="A356" s="688" t="s">
        <v>622</v>
      </c>
      <c r="B356" s="696"/>
      <c r="C356" s="703"/>
      <c r="D356" s="692">
        <v>300</v>
      </c>
      <c r="E356" s="692">
        <v>300</v>
      </c>
      <c r="F356" s="686"/>
      <c r="G356" s="686"/>
      <c r="H356" s="711"/>
      <c r="I356" s="653" t="s">
        <v>623</v>
      </c>
      <c r="J356" s="653" t="s">
        <v>622</v>
      </c>
      <c r="K356" s="654">
        <v>2118</v>
      </c>
      <c r="L356" s="653">
        <f>ROUND(K356,0)</f>
        <v>2118</v>
      </c>
    </row>
    <row r="357" ht="36.95" customHeight="1" spans="1:8">
      <c r="A357" s="682" t="s">
        <v>624</v>
      </c>
      <c r="B357" s="710">
        <f>B358</f>
        <v>10</v>
      </c>
      <c r="C357" s="685">
        <f>C358</f>
        <v>0</v>
      </c>
      <c r="D357" s="685">
        <f>D358</f>
        <v>0</v>
      </c>
      <c r="E357" s="685"/>
      <c r="F357" s="691"/>
      <c r="G357" s="691"/>
      <c r="H357" s="687"/>
    </row>
    <row r="358" ht="20.1" customHeight="1" spans="1:8">
      <c r="A358" s="688" t="s">
        <v>625</v>
      </c>
      <c r="B358" s="696">
        <v>10</v>
      </c>
      <c r="C358" s="703"/>
      <c r="D358" s="692"/>
      <c r="E358" s="692"/>
      <c r="F358" s="686"/>
      <c r="G358" s="686"/>
      <c r="H358" s="711"/>
    </row>
    <row r="359" ht="63" customHeight="1" spans="1:12">
      <c r="A359" s="676" t="s">
        <v>626</v>
      </c>
      <c r="B359" s="677">
        <f>SUM(B360+B365+B367+B370)</f>
        <v>25577</v>
      </c>
      <c r="C359" s="678">
        <f>SUM(C360+C365+C367+C370)</f>
        <v>19728</v>
      </c>
      <c r="D359" s="679">
        <f>SUM(D360+D365+D367+D370+D372)</f>
        <v>43534</v>
      </c>
      <c r="E359" s="679">
        <f>SUM(E360+E365+E367+E370+E372)</f>
        <v>43534</v>
      </c>
      <c r="F359" s="704">
        <f>E359/D359*100</f>
        <v>100</v>
      </c>
      <c r="G359" s="704">
        <f>(E359/B359-1)*100</f>
        <v>70.2076083981702</v>
      </c>
      <c r="H359" s="712" t="s">
        <v>627</v>
      </c>
      <c r="I359" s="697"/>
      <c r="J359" s="697"/>
      <c r="K359" s="698"/>
      <c r="L359" s="697"/>
    </row>
    <row r="360" ht="20.1" customHeight="1" spans="1:8">
      <c r="A360" s="682" t="s">
        <v>628</v>
      </c>
      <c r="B360" s="683">
        <f>SUM(B361:B364)</f>
        <v>16216</v>
      </c>
      <c r="C360" s="684">
        <f>SUM(C361:C364)</f>
        <v>16928</v>
      </c>
      <c r="D360" s="685">
        <f>SUM(D361:D364)</f>
        <v>17903</v>
      </c>
      <c r="E360" s="685">
        <f>SUM(E361:E364)</f>
        <v>17903</v>
      </c>
      <c r="F360" s="704"/>
      <c r="G360" s="704"/>
      <c r="H360" s="717"/>
    </row>
    <row r="361" ht="20.1" customHeight="1" spans="1:12">
      <c r="A361" s="688" t="s">
        <v>91</v>
      </c>
      <c r="B361" s="689">
        <v>510</v>
      </c>
      <c r="C361" s="140">
        <v>523</v>
      </c>
      <c r="D361" s="692">
        <v>585</v>
      </c>
      <c r="E361" s="692">
        <v>585</v>
      </c>
      <c r="F361" s="686"/>
      <c r="G361" s="686"/>
      <c r="H361" s="687"/>
      <c r="I361" s="653" t="s">
        <v>629</v>
      </c>
      <c r="J361" s="653" t="s">
        <v>91</v>
      </c>
      <c r="K361" s="654">
        <v>585</v>
      </c>
      <c r="L361" s="653">
        <f>ROUND(K361,0)</f>
        <v>585</v>
      </c>
    </row>
    <row r="362" ht="20.1" customHeight="1" spans="1:12">
      <c r="A362" s="688" t="s">
        <v>93</v>
      </c>
      <c r="B362" s="689">
        <v>8148</v>
      </c>
      <c r="C362" s="140">
        <v>11059</v>
      </c>
      <c r="D362" s="692">
        <v>11257</v>
      </c>
      <c r="E362" s="692">
        <v>11257</v>
      </c>
      <c r="F362" s="691"/>
      <c r="G362" s="691"/>
      <c r="H362" s="687"/>
      <c r="I362" s="653" t="s">
        <v>630</v>
      </c>
      <c r="J362" s="653" t="s">
        <v>93</v>
      </c>
      <c r="K362" s="654">
        <v>11257</v>
      </c>
      <c r="L362" s="653">
        <f>ROUND(K362,0)</f>
        <v>11257</v>
      </c>
    </row>
    <row r="363" ht="20.1" customHeight="1" spans="1:12">
      <c r="A363" s="688" t="s">
        <v>631</v>
      </c>
      <c r="B363" s="689">
        <v>3067</v>
      </c>
      <c r="C363" s="140">
        <v>219</v>
      </c>
      <c r="D363" s="692">
        <v>219</v>
      </c>
      <c r="E363" s="692">
        <v>219</v>
      </c>
      <c r="F363" s="691"/>
      <c r="G363" s="691"/>
      <c r="H363" s="687"/>
      <c r="I363" s="653" t="s">
        <v>632</v>
      </c>
      <c r="J363" s="653" t="s">
        <v>631</v>
      </c>
      <c r="K363" s="654">
        <v>219</v>
      </c>
      <c r="L363" s="653">
        <f>ROUND(K363,0)</f>
        <v>219</v>
      </c>
    </row>
    <row r="364" ht="20.1" customHeight="1" spans="1:12">
      <c r="A364" s="688" t="s">
        <v>633</v>
      </c>
      <c r="B364" s="689">
        <v>4491</v>
      </c>
      <c r="C364" s="693">
        <v>5127</v>
      </c>
      <c r="D364" s="692">
        <v>5842</v>
      </c>
      <c r="E364" s="692">
        <v>5842</v>
      </c>
      <c r="F364" s="691"/>
      <c r="G364" s="691"/>
      <c r="H364" s="687"/>
      <c r="I364" s="653" t="s">
        <v>634</v>
      </c>
      <c r="J364" s="653" t="s">
        <v>633</v>
      </c>
      <c r="K364" s="654">
        <v>5842</v>
      </c>
      <c r="L364" s="653">
        <f>ROUND(K364,0)</f>
        <v>5842</v>
      </c>
    </row>
    <row r="365" ht="20.1" customHeight="1" spans="1:8">
      <c r="A365" s="682" t="s">
        <v>635</v>
      </c>
      <c r="B365" s="710">
        <f>SUM(B366)</f>
        <v>196</v>
      </c>
      <c r="C365" s="685">
        <f>SUM(C366)</f>
        <v>0</v>
      </c>
      <c r="D365" s="685">
        <f>SUM(D366)</f>
        <v>35</v>
      </c>
      <c r="E365" s="685">
        <f>SUM(E366)</f>
        <v>35</v>
      </c>
      <c r="F365" s="691"/>
      <c r="G365" s="691"/>
      <c r="H365" s="687"/>
    </row>
    <row r="366" ht="20.1" customHeight="1" spans="1:12">
      <c r="A366" s="688" t="s">
        <v>636</v>
      </c>
      <c r="B366" s="696">
        <v>196</v>
      </c>
      <c r="C366" s="703"/>
      <c r="D366" s="692">
        <v>35</v>
      </c>
      <c r="E366" s="692">
        <v>35</v>
      </c>
      <c r="F366" s="686"/>
      <c r="G366" s="686"/>
      <c r="H366" s="687"/>
      <c r="I366" s="653" t="s">
        <v>637</v>
      </c>
      <c r="J366" s="653" t="s">
        <v>636</v>
      </c>
      <c r="K366" s="654">
        <v>35</v>
      </c>
      <c r="L366" s="653">
        <f>ROUND(K366,0)</f>
        <v>35</v>
      </c>
    </row>
    <row r="367" ht="20.1" customHeight="1" spans="1:8">
      <c r="A367" s="682" t="s">
        <v>638</v>
      </c>
      <c r="B367" s="683">
        <f>SUM(B368:B369)</f>
        <v>9165</v>
      </c>
      <c r="C367" s="684">
        <f>SUM(C368:C369)</f>
        <v>2800</v>
      </c>
      <c r="D367" s="685">
        <f>SUM(D368:D369)</f>
        <v>4014</v>
      </c>
      <c r="E367" s="685">
        <f>SUM(E368:E369)</f>
        <v>4014</v>
      </c>
      <c r="F367" s="686"/>
      <c r="G367" s="686"/>
      <c r="H367" s="687"/>
    </row>
    <row r="368" ht="20.1" customHeight="1" spans="1:12">
      <c r="A368" s="688" t="s">
        <v>639</v>
      </c>
      <c r="B368" s="689">
        <v>8828</v>
      </c>
      <c r="C368" s="693">
        <v>2800</v>
      </c>
      <c r="D368" s="692">
        <v>3946</v>
      </c>
      <c r="E368" s="692">
        <v>3946</v>
      </c>
      <c r="F368" s="691"/>
      <c r="G368" s="691"/>
      <c r="H368" s="687"/>
      <c r="I368" s="653" t="s">
        <v>640</v>
      </c>
      <c r="J368" s="653" t="s">
        <v>639</v>
      </c>
      <c r="K368" s="654">
        <v>3946</v>
      </c>
      <c r="L368" s="653">
        <f>ROUND(K368,0)</f>
        <v>3946</v>
      </c>
    </row>
    <row r="369" ht="20.1" customHeight="1" spans="1:12">
      <c r="A369" s="688" t="s">
        <v>641</v>
      </c>
      <c r="B369" s="689">
        <v>337</v>
      </c>
      <c r="C369" s="693"/>
      <c r="D369" s="692">
        <v>68</v>
      </c>
      <c r="E369" s="692">
        <v>68</v>
      </c>
      <c r="F369" s="691"/>
      <c r="G369" s="691"/>
      <c r="H369" s="687"/>
      <c r="I369" s="653" t="s">
        <v>642</v>
      </c>
      <c r="J369" s="653" t="s">
        <v>641</v>
      </c>
      <c r="K369" s="654">
        <v>68</v>
      </c>
      <c r="L369" s="653">
        <f>ROUND(K369,0)</f>
        <v>68</v>
      </c>
    </row>
    <row r="370" ht="20.1" customHeight="1" spans="1:8">
      <c r="A370" s="682" t="s">
        <v>643</v>
      </c>
      <c r="B370" s="683">
        <f>B373</f>
        <v>0</v>
      </c>
      <c r="C370" s="684">
        <f>SUM(C373)</f>
        <v>0</v>
      </c>
      <c r="D370" s="685">
        <f>D371</f>
        <v>382</v>
      </c>
      <c r="E370" s="685">
        <f>E371</f>
        <v>382</v>
      </c>
      <c r="F370" s="691"/>
      <c r="G370" s="691"/>
      <c r="H370" s="687"/>
    </row>
    <row r="371" ht="20.1" customHeight="1" spans="1:12">
      <c r="A371" s="688" t="s">
        <v>644</v>
      </c>
      <c r="B371" s="708"/>
      <c r="C371" s="703"/>
      <c r="D371" s="692">
        <v>382</v>
      </c>
      <c r="E371" s="692">
        <v>382</v>
      </c>
      <c r="F371" s="691"/>
      <c r="G371" s="691"/>
      <c r="H371" s="687"/>
      <c r="I371" s="653" t="s">
        <v>645</v>
      </c>
      <c r="J371" s="653" t="s">
        <v>644</v>
      </c>
      <c r="K371" s="654">
        <v>382</v>
      </c>
      <c r="L371" s="653">
        <f>ROUND(K371,0)</f>
        <v>382</v>
      </c>
    </row>
    <row r="372" ht="20.1" customHeight="1" spans="1:8">
      <c r="A372" s="682" t="s">
        <v>646</v>
      </c>
      <c r="B372" s="682"/>
      <c r="C372" s="682"/>
      <c r="D372" s="685">
        <f>D373</f>
        <v>21200</v>
      </c>
      <c r="E372" s="685">
        <f>E373</f>
        <v>21200</v>
      </c>
      <c r="F372" s="682"/>
      <c r="G372" s="682"/>
      <c r="H372" s="682"/>
    </row>
    <row r="373" ht="20.1" customHeight="1" spans="1:12">
      <c r="A373" s="688" t="s">
        <v>644</v>
      </c>
      <c r="B373" s="696"/>
      <c r="C373" s="703"/>
      <c r="D373" s="692">
        <v>21200</v>
      </c>
      <c r="E373" s="692">
        <v>21200</v>
      </c>
      <c r="F373" s="691"/>
      <c r="G373" s="691"/>
      <c r="H373" s="687"/>
      <c r="I373" s="653" t="s">
        <v>647</v>
      </c>
      <c r="J373" s="653" t="s">
        <v>648</v>
      </c>
      <c r="K373" s="654">
        <v>21200</v>
      </c>
      <c r="L373" s="653">
        <f>ROUND(K373,0)</f>
        <v>21200</v>
      </c>
    </row>
    <row r="374" ht="37" customHeight="1" spans="1:12">
      <c r="A374" s="676" t="s">
        <v>649</v>
      </c>
      <c r="B374" s="677">
        <f>SUM(B375+B395+B407+B423+B427+B430+B434)</f>
        <v>42573</v>
      </c>
      <c r="C374" s="678">
        <f>SUM(C375+C395+C407+C423+C427+C430+C434)</f>
        <v>60577</v>
      </c>
      <c r="D374" s="679">
        <f>D375+D395+D407+D423+D427+D430+D434</f>
        <v>71906</v>
      </c>
      <c r="E374" s="679">
        <f>E375+E395+E407+E423+E427+E430+E434</f>
        <v>71906</v>
      </c>
      <c r="F374" s="704">
        <f>E374/D374*100</f>
        <v>100</v>
      </c>
      <c r="G374" s="704">
        <f>(E374/B374-1)*100</f>
        <v>68.9004768280365</v>
      </c>
      <c r="H374" s="722" t="s">
        <v>650</v>
      </c>
      <c r="I374" s="697"/>
      <c r="J374" s="697"/>
      <c r="K374" s="698"/>
      <c r="L374" s="697"/>
    </row>
    <row r="375" ht="21" customHeight="1" spans="1:8">
      <c r="A375" s="682" t="s">
        <v>651</v>
      </c>
      <c r="B375" s="683">
        <f>SUM(B376:B394)</f>
        <v>11689</v>
      </c>
      <c r="C375" s="684">
        <f>SUM(C376:C394)</f>
        <v>23618</v>
      </c>
      <c r="D375" s="685">
        <f>SUM(D376:D394)</f>
        <v>29548</v>
      </c>
      <c r="E375" s="685">
        <f>SUM(E376:E394)</f>
        <v>29548</v>
      </c>
      <c r="F375" s="704"/>
      <c r="G375" s="704"/>
      <c r="H375" s="681"/>
    </row>
    <row r="376" ht="21" customHeight="1" spans="1:12">
      <c r="A376" s="688" t="s">
        <v>91</v>
      </c>
      <c r="B376" s="689">
        <v>888</v>
      </c>
      <c r="C376" s="693">
        <v>890</v>
      </c>
      <c r="D376" s="692">
        <v>975</v>
      </c>
      <c r="E376" s="692">
        <v>975</v>
      </c>
      <c r="F376" s="691"/>
      <c r="G376" s="691"/>
      <c r="H376" s="687"/>
      <c r="I376" s="653" t="s">
        <v>652</v>
      </c>
      <c r="J376" s="653" t="s">
        <v>91</v>
      </c>
      <c r="K376" s="654">
        <v>975</v>
      </c>
      <c r="L376" s="653">
        <f t="shared" ref="L376:L391" si="9">ROUND(K376,0)</f>
        <v>975</v>
      </c>
    </row>
    <row r="377" ht="21" customHeight="1" spans="1:12">
      <c r="A377" s="688" t="s">
        <v>93</v>
      </c>
      <c r="B377" s="689">
        <v>68</v>
      </c>
      <c r="C377" s="693"/>
      <c r="D377" s="692">
        <v>44</v>
      </c>
      <c r="E377" s="692">
        <v>44</v>
      </c>
      <c r="F377" s="691"/>
      <c r="G377" s="691"/>
      <c r="H377" s="687"/>
      <c r="I377" s="653" t="s">
        <v>653</v>
      </c>
      <c r="J377" s="653" t="s">
        <v>93</v>
      </c>
      <c r="K377" s="654">
        <v>44</v>
      </c>
      <c r="L377" s="653">
        <f t="shared" si="9"/>
        <v>44</v>
      </c>
    </row>
    <row r="378" ht="21" customHeight="1" spans="1:12">
      <c r="A378" s="688" t="s">
        <v>101</v>
      </c>
      <c r="B378" s="689">
        <v>8393</v>
      </c>
      <c r="C378" s="693">
        <v>18470</v>
      </c>
      <c r="D378" s="692">
        <v>19979</v>
      </c>
      <c r="E378" s="692">
        <v>19979</v>
      </c>
      <c r="F378" s="691"/>
      <c r="G378" s="691"/>
      <c r="H378" s="687"/>
      <c r="I378" s="653" t="s">
        <v>654</v>
      </c>
      <c r="J378" s="653" t="s">
        <v>101</v>
      </c>
      <c r="K378" s="654">
        <v>19979</v>
      </c>
      <c r="L378" s="653">
        <f t="shared" si="9"/>
        <v>19979</v>
      </c>
    </row>
    <row r="379" ht="21" customHeight="1" spans="1:12">
      <c r="A379" s="688" t="s">
        <v>655</v>
      </c>
      <c r="B379" s="689">
        <v>151</v>
      </c>
      <c r="C379" s="693">
        <v>10</v>
      </c>
      <c r="D379" s="692">
        <v>10</v>
      </c>
      <c r="E379" s="692">
        <v>10</v>
      </c>
      <c r="F379" s="686"/>
      <c r="G379" s="686"/>
      <c r="H379" s="687"/>
      <c r="I379" s="653" t="s">
        <v>656</v>
      </c>
      <c r="J379" s="653" t="s">
        <v>655</v>
      </c>
      <c r="K379" s="654">
        <v>10</v>
      </c>
      <c r="L379" s="653">
        <f t="shared" si="9"/>
        <v>10</v>
      </c>
    </row>
    <row r="380" ht="21" customHeight="1" spans="1:12">
      <c r="A380" s="688" t="s">
        <v>657</v>
      </c>
      <c r="B380" s="689">
        <v>63</v>
      </c>
      <c r="C380" s="693">
        <v>77</v>
      </c>
      <c r="D380" s="692">
        <v>157</v>
      </c>
      <c r="E380" s="692">
        <v>157</v>
      </c>
      <c r="F380" s="691"/>
      <c r="G380" s="691"/>
      <c r="H380" s="687"/>
      <c r="I380" s="653" t="s">
        <v>658</v>
      </c>
      <c r="J380" s="653" t="s">
        <v>657</v>
      </c>
      <c r="K380" s="654">
        <v>157</v>
      </c>
      <c r="L380" s="653">
        <f t="shared" si="9"/>
        <v>157</v>
      </c>
    </row>
    <row r="381" ht="21" customHeight="1" spans="1:12">
      <c r="A381" s="688" t="s">
        <v>659</v>
      </c>
      <c r="B381" s="689">
        <v>37</v>
      </c>
      <c r="C381" s="693">
        <v>45</v>
      </c>
      <c r="D381" s="692">
        <v>48</v>
      </c>
      <c r="E381" s="692">
        <v>48</v>
      </c>
      <c r="F381" s="691"/>
      <c r="G381" s="691"/>
      <c r="H381" s="687"/>
      <c r="I381" s="653" t="s">
        <v>660</v>
      </c>
      <c r="J381" s="653" t="s">
        <v>659</v>
      </c>
      <c r="K381" s="654">
        <v>48</v>
      </c>
      <c r="L381" s="653">
        <f t="shared" si="9"/>
        <v>48</v>
      </c>
    </row>
    <row r="382" ht="21" customHeight="1" spans="1:12">
      <c r="A382" s="688" t="s">
        <v>661</v>
      </c>
      <c r="B382" s="689">
        <v>254</v>
      </c>
      <c r="C382" s="693">
        <v>253</v>
      </c>
      <c r="D382" s="692">
        <v>253</v>
      </c>
      <c r="E382" s="692">
        <v>253</v>
      </c>
      <c r="F382" s="691"/>
      <c r="G382" s="691"/>
      <c r="H382" s="687"/>
      <c r="I382" s="653" t="s">
        <v>662</v>
      </c>
      <c r="J382" s="653" t="s">
        <v>661</v>
      </c>
      <c r="K382" s="654">
        <v>253</v>
      </c>
      <c r="L382" s="653">
        <f t="shared" si="9"/>
        <v>253</v>
      </c>
    </row>
    <row r="383" ht="21" customHeight="1" spans="1:12">
      <c r="A383" s="688" t="s">
        <v>663</v>
      </c>
      <c r="B383" s="689">
        <v>7</v>
      </c>
      <c r="C383" s="693">
        <v>3</v>
      </c>
      <c r="D383" s="692">
        <v>3</v>
      </c>
      <c r="E383" s="692">
        <v>3</v>
      </c>
      <c r="F383" s="691"/>
      <c r="G383" s="691"/>
      <c r="H383" s="687"/>
      <c r="I383" s="653" t="s">
        <v>664</v>
      </c>
      <c r="J383" s="653" t="s">
        <v>663</v>
      </c>
      <c r="K383" s="654">
        <v>3</v>
      </c>
      <c r="L383" s="653">
        <f t="shared" si="9"/>
        <v>3</v>
      </c>
    </row>
    <row r="384" ht="21" customHeight="1" spans="1:12">
      <c r="A384" s="688" t="s">
        <v>665</v>
      </c>
      <c r="B384" s="689">
        <v>125</v>
      </c>
      <c r="C384" s="693">
        <v>625</v>
      </c>
      <c r="D384" s="692">
        <v>562</v>
      </c>
      <c r="E384" s="692">
        <v>562</v>
      </c>
      <c r="F384" s="686"/>
      <c r="G384" s="686"/>
      <c r="H384" s="687"/>
      <c r="I384" s="653" t="s">
        <v>666</v>
      </c>
      <c r="J384" s="653" t="s">
        <v>665</v>
      </c>
      <c r="K384" s="654">
        <v>562</v>
      </c>
      <c r="L384" s="653">
        <f t="shared" si="9"/>
        <v>562</v>
      </c>
    </row>
    <row r="385" ht="21" customHeight="1" spans="1:12">
      <c r="A385" s="688" t="s">
        <v>667</v>
      </c>
      <c r="B385" s="689">
        <v>77</v>
      </c>
      <c r="C385" s="693">
        <v>404</v>
      </c>
      <c r="D385" s="692">
        <v>507</v>
      </c>
      <c r="E385" s="692">
        <v>507</v>
      </c>
      <c r="F385" s="686"/>
      <c r="G385" s="686"/>
      <c r="H385" s="687"/>
      <c r="I385" s="653" t="s">
        <v>668</v>
      </c>
      <c r="J385" s="653" t="s">
        <v>667</v>
      </c>
      <c r="K385" s="654">
        <v>507</v>
      </c>
      <c r="L385" s="653">
        <f t="shared" si="9"/>
        <v>507</v>
      </c>
    </row>
    <row r="386" ht="21" customHeight="1" spans="1:12">
      <c r="A386" s="688" t="s">
        <v>669</v>
      </c>
      <c r="B386" s="689">
        <v>100</v>
      </c>
      <c r="C386" s="693">
        <v>590</v>
      </c>
      <c r="D386" s="692">
        <v>222</v>
      </c>
      <c r="E386" s="692">
        <v>222</v>
      </c>
      <c r="F386" s="691"/>
      <c r="G386" s="691"/>
      <c r="H386" s="687"/>
      <c r="I386" s="653" t="s">
        <v>670</v>
      </c>
      <c r="J386" s="653" t="s">
        <v>669</v>
      </c>
      <c r="K386" s="654">
        <v>222</v>
      </c>
      <c r="L386" s="653">
        <f t="shared" si="9"/>
        <v>222</v>
      </c>
    </row>
    <row r="387" ht="21" customHeight="1" spans="1:12">
      <c r="A387" s="688" t="s">
        <v>671</v>
      </c>
      <c r="B387" s="689">
        <v>180</v>
      </c>
      <c r="C387" s="693">
        <v>180</v>
      </c>
      <c r="D387" s="692">
        <v>180</v>
      </c>
      <c r="E387" s="692">
        <v>180</v>
      </c>
      <c r="F387" s="691"/>
      <c r="G387" s="691"/>
      <c r="H387" s="687"/>
      <c r="I387" s="653" t="s">
        <v>672</v>
      </c>
      <c r="J387" s="653" t="s">
        <v>671</v>
      </c>
      <c r="K387" s="654">
        <v>180</v>
      </c>
      <c r="L387" s="653">
        <f t="shared" si="9"/>
        <v>180</v>
      </c>
    </row>
    <row r="388" ht="21" customHeight="1" spans="1:12">
      <c r="A388" s="688" t="s">
        <v>673</v>
      </c>
      <c r="B388" s="689">
        <v>70</v>
      </c>
      <c r="C388" s="693"/>
      <c r="D388" s="692">
        <v>33</v>
      </c>
      <c r="E388" s="692">
        <v>33</v>
      </c>
      <c r="F388" s="691"/>
      <c r="G388" s="691"/>
      <c r="H388" s="687"/>
      <c r="I388" s="653" t="s">
        <v>674</v>
      </c>
      <c r="J388" s="653" t="s">
        <v>673</v>
      </c>
      <c r="K388" s="654">
        <v>33</v>
      </c>
      <c r="L388" s="653">
        <f t="shared" si="9"/>
        <v>33</v>
      </c>
    </row>
    <row r="389" ht="21" customHeight="1" spans="1:12">
      <c r="A389" s="688" t="s">
        <v>675</v>
      </c>
      <c r="B389" s="689"/>
      <c r="C389" s="693">
        <v>9</v>
      </c>
      <c r="D389" s="692">
        <v>39</v>
      </c>
      <c r="E389" s="692">
        <v>39</v>
      </c>
      <c r="F389" s="686"/>
      <c r="G389" s="686"/>
      <c r="H389" s="687"/>
      <c r="I389" s="653" t="s">
        <v>676</v>
      </c>
      <c r="J389" s="653" t="s">
        <v>675</v>
      </c>
      <c r="K389" s="654">
        <v>39</v>
      </c>
      <c r="L389" s="653">
        <f t="shared" si="9"/>
        <v>39</v>
      </c>
    </row>
    <row r="390" ht="21" customHeight="1" spans="1:12">
      <c r="A390" s="688" t="s">
        <v>677</v>
      </c>
      <c r="B390" s="689">
        <v>99</v>
      </c>
      <c r="C390" s="693"/>
      <c r="D390" s="692">
        <v>39</v>
      </c>
      <c r="E390" s="692">
        <v>39</v>
      </c>
      <c r="F390" s="686"/>
      <c r="G390" s="686"/>
      <c r="H390" s="687"/>
      <c r="I390" s="653" t="s">
        <v>678</v>
      </c>
      <c r="J390" s="653" t="s">
        <v>677</v>
      </c>
      <c r="K390" s="654">
        <v>39</v>
      </c>
      <c r="L390" s="653">
        <f t="shared" si="9"/>
        <v>39</v>
      </c>
    </row>
    <row r="391" ht="21" customHeight="1" spans="1:12">
      <c r="A391" s="688" t="s">
        <v>679</v>
      </c>
      <c r="B391" s="689">
        <v>8</v>
      </c>
      <c r="C391" s="693">
        <v>668</v>
      </c>
      <c r="D391" s="692">
        <v>54</v>
      </c>
      <c r="E391" s="692">
        <v>54</v>
      </c>
      <c r="F391" s="691"/>
      <c r="G391" s="691"/>
      <c r="H391" s="687"/>
      <c r="I391" s="653" t="s">
        <v>680</v>
      </c>
      <c r="J391" s="653" t="s">
        <v>681</v>
      </c>
      <c r="K391" s="654">
        <v>54</v>
      </c>
      <c r="L391" s="653">
        <f t="shared" si="9"/>
        <v>54</v>
      </c>
    </row>
    <row r="392" ht="21" customHeight="1" spans="1:8">
      <c r="A392" s="688" t="s">
        <v>682</v>
      </c>
      <c r="B392" s="689">
        <v>12</v>
      </c>
      <c r="C392" s="693"/>
      <c r="D392" s="692"/>
      <c r="E392" s="692"/>
      <c r="F392" s="691"/>
      <c r="G392" s="691"/>
      <c r="H392" s="687"/>
    </row>
    <row r="393" ht="21" customHeight="1" spans="1:12">
      <c r="A393" s="688" t="s">
        <v>683</v>
      </c>
      <c r="B393" s="689">
        <v>77</v>
      </c>
      <c r="C393" s="693"/>
      <c r="D393" s="692">
        <v>1521</v>
      </c>
      <c r="E393" s="692">
        <v>1521</v>
      </c>
      <c r="F393" s="691"/>
      <c r="G393" s="691"/>
      <c r="H393" s="687"/>
      <c r="I393" s="653" t="s">
        <v>684</v>
      </c>
      <c r="J393" s="653" t="s">
        <v>683</v>
      </c>
      <c r="K393" s="654">
        <v>1521</v>
      </c>
      <c r="L393" s="653">
        <f>ROUND(K393,0)</f>
        <v>1521</v>
      </c>
    </row>
    <row r="394" ht="21" customHeight="1" spans="1:12">
      <c r="A394" s="688" t="s">
        <v>685</v>
      </c>
      <c r="B394" s="689">
        <v>1080</v>
      </c>
      <c r="C394" s="693">
        <v>1394</v>
      </c>
      <c r="D394" s="692">
        <v>4922</v>
      </c>
      <c r="E394" s="692">
        <v>4922</v>
      </c>
      <c r="F394" s="691"/>
      <c r="G394" s="691"/>
      <c r="H394" s="687"/>
      <c r="I394" s="653" t="s">
        <v>686</v>
      </c>
      <c r="J394" s="653" t="s">
        <v>685</v>
      </c>
      <c r="K394" s="654">
        <v>4922</v>
      </c>
      <c r="L394" s="653">
        <f>ROUND(K394,0)</f>
        <v>4922</v>
      </c>
    </row>
    <row r="395" ht="21" customHeight="1" spans="1:8">
      <c r="A395" s="682" t="s">
        <v>687</v>
      </c>
      <c r="B395" s="683">
        <f>SUM(B396:B406)</f>
        <v>3483</v>
      </c>
      <c r="C395" s="684">
        <f>SUM(C396:C406)</f>
        <v>6206</v>
      </c>
      <c r="D395" s="685">
        <f>SUM(D396:D406)</f>
        <v>4311</v>
      </c>
      <c r="E395" s="685">
        <f>SUM(E396:E406)</f>
        <v>4311</v>
      </c>
      <c r="F395" s="691"/>
      <c r="G395" s="691"/>
      <c r="H395" s="687"/>
    </row>
    <row r="396" ht="21" customHeight="1" spans="1:12">
      <c r="A396" s="688" t="s">
        <v>91</v>
      </c>
      <c r="B396" s="689">
        <v>234</v>
      </c>
      <c r="C396" s="693">
        <v>203</v>
      </c>
      <c r="D396" s="692">
        <v>281</v>
      </c>
      <c r="E396" s="692">
        <v>281</v>
      </c>
      <c r="F396" s="686"/>
      <c r="G396" s="686"/>
      <c r="H396" s="687"/>
      <c r="I396" s="653" t="s">
        <v>688</v>
      </c>
      <c r="J396" s="653" t="s">
        <v>91</v>
      </c>
      <c r="K396" s="654">
        <v>281</v>
      </c>
      <c r="L396" s="653">
        <f t="shared" ref="L396:L406" si="10">ROUND(K396,0)</f>
        <v>281</v>
      </c>
    </row>
    <row r="397" ht="21" customHeight="1" spans="1:12">
      <c r="A397" s="688" t="s">
        <v>93</v>
      </c>
      <c r="B397" s="689">
        <v>90</v>
      </c>
      <c r="C397" s="693"/>
      <c r="D397" s="692">
        <v>8</v>
      </c>
      <c r="E397" s="692">
        <v>8</v>
      </c>
      <c r="F397" s="686"/>
      <c r="G397" s="686"/>
      <c r="H397" s="687"/>
      <c r="I397" s="653" t="s">
        <v>689</v>
      </c>
      <c r="J397" s="653" t="s">
        <v>93</v>
      </c>
      <c r="K397" s="654">
        <v>8</v>
      </c>
      <c r="L397" s="653">
        <f t="shared" si="10"/>
        <v>8</v>
      </c>
    </row>
    <row r="398" ht="21" customHeight="1" spans="1:12">
      <c r="A398" s="688" t="s">
        <v>690</v>
      </c>
      <c r="B398" s="689">
        <v>948</v>
      </c>
      <c r="C398" s="693">
        <v>1148</v>
      </c>
      <c r="D398" s="692">
        <v>1196</v>
      </c>
      <c r="E398" s="692">
        <v>1196</v>
      </c>
      <c r="F398" s="686"/>
      <c r="G398" s="686"/>
      <c r="H398" s="687"/>
      <c r="I398" s="653" t="s">
        <v>691</v>
      </c>
      <c r="J398" s="653" t="s">
        <v>690</v>
      </c>
      <c r="K398" s="654">
        <v>1196</v>
      </c>
      <c r="L398" s="653">
        <f t="shared" si="10"/>
        <v>1196</v>
      </c>
    </row>
    <row r="399" ht="21" customHeight="1" spans="1:12">
      <c r="A399" s="688" t="s">
        <v>692</v>
      </c>
      <c r="B399" s="689">
        <v>175</v>
      </c>
      <c r="C399" s="693">
        <v>776</v>
      </c>
      <c r="D399" s="692">
        <v>661</v>
      </c>
      <c r="E399" s="692">
        <v>661</v>
      </c>
      <c r="F399" s="691"/>
      <c r="G399" s="691"/>
      <c r="H399" s="687"/>
      <c r="I399" s="653" t="s">
        <v>693</v>
      </c>
      <c r="J399" s="653" t="s">
        <v>692</v>
      </c>
      <c r="K399" s="654">
        <v>661</v>
      </c>
      <c r="L399" s="653">
        <f t="shared" si="10"/>
        <v>661</v>
      </c>
    </row>
    <row r="400" ht="21" customHeight="1" spans="1:12">
      <c r="A400" s="688" t="s">
        <v>694</v>
      </c>
      <c r="B400" s="689"/>
      <c r="C400" s="693"/>
      <c r="D400" s="692">
        <v>14</v>
      </c>
      <c r="E400" s="692">
        <v>14</v>
      </c>
      <c r="F400" s="691"/>
      <c r="G400" s="691"/>
      <c r="H400" s="687"/>
      <c r="I400" s="653" t="s">
        <v>695</v>
      </c>
      <c r="J400" s="653" t="s">
        <v>694</v>
      </c>
      <c r="K400" s="654">
        <v>14</v>
      </c>
      <c r="L400" s="653">
        <f t="shared" si="10"/>
        <v>14</v>
      </c>
    </row>
    <row r="401" ht="21" customHeight="1" spans="1:12">
      <c r="A401" s="688" t="s">
        <v>696</v>
      </c>
      <c r="B401" s="689">
        <v>47</v>
      </c>
      <c r="C401" s="693">
        <v>129</v>
      </c>
      <c r="D401" s="692">
        <v>54</v>
      </c>
      <c r="E401" s="692">
        <v>54</v>
      </c>
      <c r="F401" s="691"/>
      <c r="G401" s="691"/>
      <c r="H401" s="687"/>
      <c r="I401" s="653" t="s">
        <v>697</v>
      </c>
      <c r="J401" s="653" t="s">
        <v>696</v>
      </c>
      <c r="K401" s="654">
        <v>54</v>
      </c>
      <c r="L401" s="653">
        <f t="shared" si="10"/>
        <v>54</v>
      </c>
    </row>
    <row r="402" ht="21" customHeight="1" spans="1:12">
      <c r="A402" s="688" t="s">
        <v>698</v>
      </c>
      <c r="B402" s="689">
        <v>21</v>
      </c>
      <c r="C402" s="693">
        <v>22</v>
      </c>
      <c r="D402" s="692">
        <v>55</v>
      </c>
      <c r="E402" s="692">
        <v>55</v>
      </c>
      <c r="F402" s="691"/>
      <c r="G402" s="691"/>
      <c r="H402" s="687"/>
      <c r="I402" s="653" t="s">
        <v>699</v>
      </c>
      <c r="J402" s="653" t="s">
        <v>698</v>
      </c>
      <c r="K402" s="654">
        <v>55</v>
      </c>
      <c r="L402" s="653">
        <f t="shared" si="10"/>
        <v>55</v>
      </c>
    </row>
    <row r="403" ht="21" customHeight="1" spans="1:12">
      <c r="A403" s="688" t="s">
        <v>700</v>
      </c>
      <c r="B403" s="689">
        <v>25</v>
      </c>
      <c r="C403" s="693">
        <v>16</v>
      </c>
      <c r="D403" s="692">
        <v>18</v>
      </c>
      <c r="E403" s="692">
        <v>18</v>
      </c>
      <c r="F403" s="691"/>
      <c r="G403" s="691"/>
      <c r="H403" s="687"/>
      <c r="I403" s="653" t="s">
        <v>701</v>
      </c>
      <c r="J403" s="653" t="s">
        <v>700</v>
      </c>
      <c r="K403" s="654">
        <v>18</v>
      </c>
      <c r="L403" s="653">
        <f t="shared" si="10"/>
        <v>18</v>
      </c>
    </row>
    <row r="404" ht="21" customHeight="1" spans="1:12">
      <c r="A404" s="688" t="s">
        <v>702</v>
      </c>
      <c r="B404" s="689">
        <v>94</v>
      </c>
      <c r="C404" s="693"/>
      <c r="D404" s="692">
        <v>10</v>
      </c>
      <c r="E404" s="692">
        <v>10</v>
      </c>
      <c r="F404" s="691"/>
      <c r="G404" s="691"/>
      <c r="H404" s="687"/>
      <c r="I404" s="653" t="s">
        <v>703</v>
      </c>
      <c r="J404" s="653" t="s">
        <v>702</v>
      </c>
      <c r="K404" s="654">
        <v>10</v>
      </c>
      <c r="L404" s="653">
        <f t="shared" si="10"/>
        <v>10</v>
      </c>
    </row>
    <row r="405" ht="21" customHeight="1" spans="1:12">
      <c r="A405" s="688" t="s">
        <v>704</v>
      </c>
      <c r="B405" s="689">
        <v>1626</v>
      </c>
      <c r="C405" s="693">
        <v>3214</v>
      </c>
      <c r="D405" s="692">
        <v>1132</v>
      </c>
      <c r="E405" s="692">
        <v>1132</v>
      </c>
      <c r="F405" s="691"/>
      <c r="G405" s="691"/>
      <c r="H405" s="687"/>
      <c r="I405" s="653" t="s">
        <v>705</v>
      </c>
      <c r="J405" s="653" t="s">
        <v>704</v>
      </c>
      <c r="K405" s="654">
        <v>1132</v>
      </c>
      <c r="L405" s="653">
        <f t="shared" si="10"/>
        <v>1132</v>
      </c>
    </row>
    <row r="406" ht="21" customHeight="1" spans="1:12">
      <c r="A406" s="688" t="s">
        <v>706</v>
      </c>
      <c r="B406" s="689">
        <v>223</v>
      </c>
      <c r="C406" s="693">
        <v>698</v>
      </c>
      <c r="D406" s="692">
        <v>882</v>
      </c>
      <c r="E406" s="692">
        <v>882</v>
      </c>
      <c r="F406" s="691"/>
      <c r="G406" s="691"/>
      <c r="H406" s="687"/>
      <c r="I406" s="653" t="s">
        <v>707</v>
      </c>
      <c r="J406" s="653" t="s">
        <v>706</v>
      </c>
      <c r="K406" s="654">
        <v>882</v>
      </c>
      <c r="L406" s="653">
        <f t="shared" si="10"/>
        <v>882</v>
      </c>
    </row>
    <row r="407" ht="21" customHeight="1" spans="1:8">
      <c r="A407" s="682" t="s">
        <v>708</v>
      </c>
      <c r="B407" s="683">
        <f>SUM(B408:B422)</f>
        <v>4760</v>
      </c>
      <c r="C407" s="684">
        <f>SUM(C408:C422)</f>
        <v>5010</v>
      </c>
      <c r="D407" s="685">
        <f>SUM(D408:D422)</f>
        <v>9929</v>
      </c>
      <c r="E407" s="685">
        <f>SUM(E408:E422)</f>
        <v>9929</v>
      </c>
      <c r="F407" s="691"/>
      <c r="G407" s="691"/>
      <c r="H407" s="687"/>
    </row>
    <row r="408" ht="21" customHeight="1" spans="1:12">
      <c r="A408" s="688" t="s">
        <v>91</v>
      </c>
      <c r="B408" s="689">
        <v>433</v>
      </c>
      <c r="C408" s="693">
        <v>423</v>
      </c>
      <c r="D408" s="692">
        <v>464</v>
      </c>
      <c r="E408" s="692">
        <v>464</v>
      </c>
      <c r="F408" s="691"/>
      <c r="G408" s="691"/>
      <c r="H408" s="687"/>
      <c r="I408" s="653" t="s">
        <v>709</v>
      </c>
      <c r="J408" s="653" t="s">
        <v>91</v>
      </c>
      <c r="K408" s="654">
        <v>464</v>
      </c>
      <c r="L408" s="653">
        <f t="shared" ref="L408:L415" si="11">ROUND(K408,0)</f>
        <v>464</v>
      </c>
    </row>
    <row r="409" ht="21" customHeight="1" spans="1:12">
      <c r="A409" s="688" t="s">
        <v>93</v>
      </c>
      <c r="B409" s="689"/>
      <c r="C409" s="693"/>
      <c r="D409" s="692">
        <v>44</v>
      </c>
      <c r="E409" s="692">
        <v>44</v>
      </c>
      <c r="F409" s="691"/>
      <c r="G409" s="691"/>
      <c r="H409" s="687"/>
      <c r="I409" s="653" t="s">
        <v>710</v>
      </c>
      <c r="J409" s="653" t="s">
        <v>93</v>
      </c>
      <c r="K409" s="654">
        <v>44</v>
      </c>
      <c r="L409" s="653">
        <f t="shared" si="11"/>
        <v>44</v>
      </c>
    </row>
    <row r="410" ht="21" customHeight="1" spans="1:12">
      <c r="A410" s="688" t="s">
        <v>711</v>
      </c>
      <c r="B410" s="689">
        <v>608</v>
      </c>
      <c r="C410" s="693">
        <v>748</v>
      </c>
      <c r="D410" s="692">
        <v>804</v>
      </c>
      <c r="E410" s="692">
        <v>804</v>
      </c>
      <c r="F410" s="691"/>
      <c r="G410" s="691"/>
      <c r="H410" s="687"/>
      <c r="I410" s="653" t="s">
        <v>712</v>
      </c>
      <c r="J410" s="653" t="s">
        <v>711</v>
      </c>
      <c r="K410" s="654">
        <v>804</v>
      </c>
      <c r="L410" s="653">
        <f t="shared" si="11"/>
        <v>804</v>
      </c>
    </row>
    <row r="411" ht="21" customHeight="1" spans="1:12">
      <c r="A411" s="688" t="s">
        <v>713</v>
      </c>
      <c r="B411" s="689">
        <v>127</v>
      </c>
      <c r="C411" s="693">
        <v>1159</v>
      </c>
      <c r="D411" s="692">
        <v>354</v>
      </c>
      <c r="E411" s="692">
        <v>354</v>
      </c>
      <c r="F411" s="691"/>
      <c r="G411" s="691"/>
      <c r="H411" s="687"/>
      <c r="I411" s="653" t="s">
        <v>714</v>
      </c>
      <c r="J411" s="653" t="s">
        <v>713</v>
      </c>
      <c r="K411" s="654">
        <v>354</v>
      </c>
      <c r="L411" s="653">
        <f t="shared" si="11"/>
        <v>354</v>
      </c>
    </row>
    <row r="412" ht="21" customHeight="1" spans="1:12">
      <c r="A412" s="688" t="s">
        <v>715</v>
      </c>
      <c r="B412" s="689">
        <v>1609</v>
      </c>
      <c r="C412" s="693">
        <v>1785</v>
      </c>
      <c r="D412" s="692">
        <v>2052</v>
      </c>
      <c r="E412" s="692">
        <v>2052</v>
      </c>
      <c r="F412" s="691"/>
      <c r="G412" s="691"/>
      <c r="H412" s="687"/>
      <c r="I412" s="653" t="s">
        <v>716</v>
      </c>
      <c r="J412" s="653" t="s">
        <v>715</v>
      </c>
      <c r="K412" s="654">
        <v>2052</v>
      </c>
      <c r="L412" s="653">
        <f t="shared" si="11"/>
        <v>2052</v>
      </c>
    </row>
    <row r="413" ht="21" customHeight="1" spans="1:12">
      <c r="A413" s="688" t="s">
        <v>717</v>
      </c>
      <c r="B413" s="689">
        <v>38</v>
      </c>
      <c r="C413" s="693">
        <v>28</v>
      </c>
      <c r="D413" s="692">
        <v>28</v>
      </c>
      <c r="E413" s="692">
        <v>28</v>
      </c>
      <c r="F413" s="704"/>
      <c r="G413" s="704"/>
      <c r="H413" s="713"/>
      <c r="I413" s="653" t="s">
        <v>718</v>
      </c>
      <c r="J413" s="653" t="s">
        <v>717</v>
      </c>
      <c r="K413" s="654">
        <v>28</v>
      </c>
      <c r="L413" s="653">
        <f t="shared" si="11"/>
        <v>28</v>
      </c>
    </row>
    <row r="414" ht="21" customHeight="1" spans="1:12">
      <c r="A414" s="688" t="s">
        <v>719</v>
      </c>
      <c r="B414" s="689">
        <v>91</v>
      </c>
      <c r="C414" s="693">
        <v>20</v>
      </c>
      <c r="D414" s="692">
        <v>329</v>
      </c>
      <c r="E414" s="692">
        <v>329</v>
      </c>
      <c r="F414" s="691"/>
      <c r="G414" s="691"/>
      <c r="H414" s="687"/>
      <c r="I414" s="653" t="s">
        <v>720</v>
      </c>
      <c r="J414" s="653" t="s">
        <v>719</v>
      </c>
      <c r="K414" s="654">
        <v>329</v>
      </c>
      <c r="L414" s="653">
        <f t="shared" si="11"/>
        <v>329</v>
      </c>
    </row>
    <row r="415" ht="21" customHeight="1" spans="1:12">
      <c r="A415" s="688" t="s">
        <v>721</v>
      </c>
      <c r="B415" s="696">
        <v>40</v>
      </c>
      <c r="C415" s="693"/>
      <c r="D415" s="692">
        <v>65</v>
      </c>
      <c r="E415" s="692">
        <v>65</v>
      </c>
      <c r="F415" s="691"/>
      <c r="G415" s="691"/>
      <c r="H415" s="687"/>
      <c r="I415" s="653" t="s">
        <v>722</v>
      </c>
      <c r="J415" s="653" t="s">
        <v>721</v>
      </c>
      <c r="K415" s="654">
        <v>65</v>
      </c>
      <c r="L415" s="653">
        <f t="shared" si="11"/>
        <v>65</v>
      </c>
    </row>
    <row r="416" ht="21" customHeight="1" spans="1:8">
      <c r="A416" s="688" t="s">
        <v>723</v>
      </c>
      <c r="B416" s="689">
        <v>195</v>
      </c>
      <c r="C416" s="693"/>
      <c r="D416" s="692"/>
      <c r="E416" s="692"/>
      <c r="F416" s="691"/>
      <c r="G416" s="691"/>
      <c r="H416" s="687"/>
    </row>
    <row r="417" s="645" customFormat="1" ht="21" customHeight="1" spans="1:12">
      <c r="A417" s="688" t="s">
        <v>724</v>
      </c>
      <c r="B417" s="689">
        <v>127</v>
      </c>
      <c r="C417" s="693">
        <v>392</v>
      </c>
      <c r="D417" s="692">
        <v>418</v>
      </c>
      <c r="E417" s="692">
        <v>418</v>
      </c>
      <c r="F417" s="691"/>
      <c r="G417" s="691"/>
      <c r="H417" s="687"/>
      <c r="I417" s="653" t="s">
        <v>725</v>
      </c>
      <c r="J417" s="653" t="s">
        <v>724</v>
      </c>
      <c r="K417" s="654">
        <v>418</v>
      </c>
      <c r="L417" s="653">
        <f t="shared" ref="L417:L422" si="12">ROUND(K417,0)</f>
        <v>418</v>
      </c>
    </row>
    <row r="418" ht="21" customHeight="1" spans="1:12">
      <c r="A418" s="688" t="s">
        <v>726</v>
      </c>
      <c r="B418" s="689">
        <v>5</v>
      </c>
      <c r="C418" s="693"/>
      <c r="D418" s="692">
        <v>99</v>
      </c>
      <c r="E418" s="692">
        <v>99</v>
      </c>
      <c r="F418" s="691"/>
      <c r="G418" s="691"/>
      <c r="H418" s="687"/>
      <c r="I418" s="653" t="s">
        <v>727</v>
      </c>
      <c r="J418" s="653" t="s">
        <v>726</v>
      </c>
      <c r="K418" s="654">
        <v>99</v>
      </c>
      <c r="L418" s="653">
        <f t="shared" si="12"/>
        <v>99</v>
      </c>
    </row>
    <row r="419" ht="21" customHeight="1" spans="1:12">
      <c r="A419" s="688" t="s">
        <v>728</v>
      </c>
      <c r="B419" s="689">
        <v>536</v>
      </c>
      <c r="C419" s="693"/>
      <c r="D419" s="692">
        <v>200</v>
      </c>
      <c r="E419" s="692">
        <v>200</v>
      </c>
      <c r="F419" s="691"/>
      <c r="G419" s="691"/>
      <c r="H419" s="687"/>
      <c r="I419" s="653" t="s">
        <v>729</v>
      </c>
      <c r="J419" s="653" t="s">
        <v>728</v>
      </c>
      <c r="K419" s="654">
        <v>200</v>
      </c>
      <c r="L419" s="653">
        <f t="shared" si="12"/>
        <v>200</v>
      </c>
    </row>
    <row r="420" ht="21" customHeight="1" spans="1:12">
      <c r="A420" s="695" t="s">
        <v>730</v>
      </c>
      <c r="B420" s="689"/>
      <c r="C420" s="693"/>
      <c r="D420" s="692">
        <v>510</v>
      </c>
      <c r="E420" s="692">
        <v>510</v>
      </c>
      <c r="F420" s="691"/>
      <c r="G420" s="691"/>
      <c r="H420" s="687"/>
      <c r="I420" s="653" t="s">
        <v>731</v>
      </c>
      <c r="J420" s="653" t="s">
        <v>730</v>
      </c>
      <c r="K420" s="654">
        <v>510</v>
      </c>
      <c r="L420" s="653">
        <f t="shared" si="12"/>
        <v>510</v>
      </c>
    </row>
    <row r="421" ht="21" customHeight="1" spans="1:12">
      <c r="A421" s="544" t="s">
        <v>732</v>
      </c>
      <c r="B421" s="696"/>
      <c r="C421" s="693">
        <v>20</v>
      </c>
      <c r="D421" s="692">
        <v>151</v>
      </c>
      <c r="E421" s="692">
        <v>151</v>
      </c>
      <c r="F421" s="691"/>
      <c r="G421" s="691"/>
      <c r="H421" s="687"/>
      <c r="I421" s="653" t="s">
        <v>733</v>
      </c>
      <c r="J421" s="653" t="s">
        <v>732</v>
      </c>
      <c r="K421" s="654">
        <v>151</v>
      </c>
      <c r="L421" s="653">
        <f t="shared" si="12"/>
        <v>151</v>
      </c>
    </row>
    <row r="422" ht="21" customHeight="1" spans="1:12">
      <c r="A422" s="688" t="s">
        <v>734</v>
      </c>
      <c r="B422" s="689">
        <v>951</v>
      </c>
      <c r="C422" s="693">
        <v>435</v>
      </c>
      <c r="D422" s="692">
        <v>4411</v>
      </c>
      <c r="E422" s="692">
        <v>4411</v>
      </c>
      <c r="F422" s="691"/>
      <c r="G422" s="691"/>
      <c r="H422" s="687"/>
      <c r="I422" s="653" t="s">
        <v>735</v>
      </c>
      <c r="J422" s="653" t="s">
        <v>734</v>
      </c>
      <c r="K422" s="654">
        <v>4411</v>
      </c>
      <c r="L422" s="653">
        <f t="shared" si="12"/>
        <v>4411</v>
      </c>
    </row>
    <row r="423" ht="21" customHeight="1" spans="1:8">
      <c r="A423" s="682" t="s">
        <v>736</v>
      </c>
      <c r="B423" s="683">
        <f>SUM(B424:B426)</f>
        <v>3935</v>
      </c>
      <c r="C423" s="684">
        <f>SUM(C424:C426)</f>
        <v>3223</v>
      </c>
      <c r="D423" s="685">
        <f>SUM(D424:D426)</f>
        <v>2627</v>
      </c>
      <c r="E423" s="685">
        <f>SUM(E424:E426)</f>
        <v>2627</v>
      </c>
      <c r="F423" s="691"/>
      <c r="G423" s="691"/>
      <c r="H423" s="687"/>
    </row>
    <row r="424" ht="21" customHeight="1" spans="1:12">
      <c r="A424" s="688" t="s">
        <v>737</v>
      </c>
      <c r="B424" s="689">
        <v>50</v>
      </c>
      <c r="C424" s="693">
        <v>50</v>
      </c>
      <c r="D424" s="692">
        <v>50</v>
      </c>
      <c r="E424" s="692">
        <v>50</v>
      </c>
      <c r="F424" s="686"/>
      <c r="G424" s="686"/>
      <c r="H424" s="687"/>
      <c r="I424" s="653" t="s">
        <v>738</v>
      </c>
      <c r="J424" s="653" t="s">
        <v>737</v>
      </c>
      <c r="K424" s="654">
        <v>50</v>
      </c>
      <c r="L424" s="653">
        <f>ROUND(K424,0)</f>
        <v>50</v>
      </c>
    </row>
    <row r="425" ht="21" customHeight="1" spans="1:8">
      <c r="A425" s="688" t="s">
        <v>739</v>
      </c>
      <c r="B425" s="689">
        <v>6</v>
      </c>
      <c r="C425" s="693"/>
      <c r="D425" s="692"/>
      <c r="E425" s="692"/>
      <c r="F425" s="691"/>
      <c r="G425" s="691"/>
      <c r="H425" s="687"/>
    </row>
    <row r="426" ht="21" customHeight="1" spans="1:12">
      <c r="A426" s="695" t="s">
        <v>740</v>
      </c>
      <c r="B426" s="689">
        <v>3879</v>
      </c>
      <c r="C426" s="703">
        <v>3173</v>
      </c>
      <c r="D426" s="692">
        <v>2577</v>
      </c>
      <c r="E426" s="692">
        <v>2577</v>
      </c>
      <c r="F426" s="691"/>
      <c r="G426" s="691"/>
      <c r="H426" s="687"/>
      <c r="I426" s="653" t="s">
        <v>741</v>
      </c>
      <c r="J426" s="653" t="s">
        <v>740</v>
      </c>
      <c r="K426" s="654">
        <v>2577</v>
      </c>
      <c r="L426" s="653">
        <f>ROUND(K426,0)</f>
        <v>2577</v>
      </c>
    </row>
    <row r="427" ht="21" customHeight="1" spans="1:8">
      <c r="A427" s="682" t="s">
        <v>742</v>
      </c>
      <c r="B427" s="683">
        <f>SUM(B428:B429)</f>
        <v>15243</v>
      </c>
      <c r="C427" s="684">
        <f>SUM(C428:C429)</f>
        <v>15432</v>
      </c>
      <c r="D427" s="685">
        <f>SUM(D428:D429)</f>
        <v>17952</v>
      </c>
      <c r="E427" s="685">
        <f>SUM(E428:E429)</f>
        <v>17952</v>
      </c>
      <c r="F427" s="704"/>
      <c r="G427" s="704"/>
      <c r="H427" s="706"/>
    </row>
    <row r="428" ht="21" customHeight="1" spans="1:12">
      <c r="A428" s="688" t="s">
        <v>743</v>
      </c>
      <c r="B428" s="689">
        <v>15243</v>
      </c>
      <c r="C428" s="693">
        <v>15332</v>
      </c>
      <c r="D428" s="692">
        <v>17852</v>
      </c>
      <c r="E428" s="692">
        <v>17852</v>
      </c>
      <c r="F428" s="691"/>
      <c r="G428" s="691"/>
      <c r="H428" s="687"/>
      <c r="I428" s="653" t="s">
        <v>744</v>
      </c>
      <c r="J428" s="653" t="s">
        <v>743</v>
      </c>
      <c r="K428" s="654">
        <v>17852</v>
      </c>
      <c r="L428" s="653">
        <f>ROUND(K428,0)</f>
        <v>17852</v>
      </c>
    </row>
    <row r="429" ht="21" customHeight="1" spans="1:12">
      <c r="A429" s="688" t="s">
        <v>745</v>
      </c>
      <c r="B429" s="689"/>
      <c r="C429" s="703">
        <v>100</v>
      </c>
      <c r="D429" s="692">
        <v>100</v>
      </c>
      <c r="E429" s="692">
        <v>100</v>
      </c>
      <c r="F429" s="691"/>
      <c r="G429" s="691"/>
      <c r="H429" s="687"/>
      <c r="I429" s="653" t="s">
        <v>746</v>
      </c>
      <c r="J429" s="653" t="s">
        <v>745</v>
      </c>
      <c r="K429" s="654">
        <v>100</v>
      </c>
      <c r="L429" s="653">
        <f>ROUND(K429,0)</f>
        <v>100</v>
      </c>
    </row>
    <row r="430" ht="21" customHeight="1" spans="1:8">
      <c r="A430" s="682" t="s">
        <v>747</v>
      </c>
      <c r="B430" s="710">
        <f>B431+B432</f>
        <v>34</v>
      </c>
      <c r="C430" s="685">
        <f>C431+C432</f>
        <v>88</v>
      </c>
      <c r="D430" s="685">
        <f>D431+D432+D433</f>
        <v>287</v>
      </c>
      <c r="E430" s="685">
        <f>E431+E432+E433</f>
        <v>287</v>
      </c>
      <c r="F430" s="691"/>
      <c r="G430" s="691"/>
      <c r="H430" s="687"/>
    </row>
    <row r="431" ht="30" customHeight="1" spans="1:12">
      <c r="A431" s="688" t="s">
        <v>748</v>
      </c>
      <c r="B431" s="708">
        <v>34</v>
      </c>
      <c r="C431" s="703">
        <v>88</v>
      </c>
      <c r="D431" s="692">
        <v>247</v>
      </c>
      <c r="E431" s="692">
        <v>247</v>
      </c>
      <c r="F431" s="691"/>
      <c r="G431" s="691"/>
      <c r="H431" s="687"/>
      <c r="I431" s="653" t="s">
        <v>749</v>
      </c>
      <c r="J431" s="653" t="s">
        <v>748</v>
      </c>
      <c r="K431" s="654">
        <v>247</v>
      </c>
      <c r="L431" s="653">
        <f>ROUND(K431,0)</f>
        <v>247</v>
      </c>
    </row>
    <row r="432" ht="20.1" customHeight="1" spans="1:12">
      <c r="A432" s="688" t="s">
        <v>750</v>
      </c>
      <c r="B432" s="708"/>
      <c r="C432" s="693"/>
      <c r="D432" s="692">
        <v>1</v>
      </c>
      <c r="E432" s="692">
        <v>1</v>
      </c>
      <c r="F432" s="691"/>
      <c r="G432" s="691"/>
      <c r="H432" s="687"/>
      <c r="I432" s="653" t="s">
        <v>751</v>
      </c>
      <c r="J432" s="653" t="s">
        <v>752</v>
      </c>
      <c r="K432" s="654">
        <v>1</v>
      </c>
      <c r="L432" s="653">
        <f>ROUND(K432,0)</f>
        <v>1</v>
      </c>
    </row>
    <row r="433" ht="20.1" customHeight="1" spans="1:12">
      <c r="A433" s="688" t="s">
        <v>753</v>
      </c>
      <c r="B433" s="708"/>
      <c r="C433" s="693"/>
      <c r="D433" s="692">
        <v>39</v>
      </c>
      <c r="E433" s="692">
        <v>39</v>
      </c>
      <c r="F433" s="691"/>
      <c r="G433" s="691"/>
      <c r="H433" s="687"/>
      <c r="I433" s="653" t="s">
        <v>754</v>
      </c>
      <c r="J433" s="653" t="s">
        <v>753</v>
      </c>
      <c r="K433" s="654">
        <v>39</v>
      </c>
      <c r="L433" s="653">
        <f>ROUND(K433,0)</f>
        <v>39</v>
      </c>
    </row>
    <row r="434" ht="20.1" customHeight="1" spans="1:8">
      <c r="A434" s="682" t="s">
        <v>755</v>
      </c>
      <c r="B434" s="683">
        <f>B435</f>
        <v>3429</v>
      </c>
      <c r="C434" s="684">
        <f>C435</f>
        <v>7000</v>
      </c>
      <c r="D434" s="685">
        <f>SUM(D435)</f>
        <v>7252</v>
      </c>
      <c r="E434" s="685">
        <f>SUM(E435)</f>
        <v>7252</v>
      </c>
      <c r="F434" s="691"/>
      <c r="G434" s="691"/>
      <c r="H434" s="687"/>
    </row>
    <row r="435" ht="20.1" customHeight="1" spans="1:12">
      <c r="A435" s="688" t="s">
        <v>756</v>
      </c>
      <c r="B435" s="696">
        <v>3429</v>
      </c>
      <c r="C435" s="693">
        <v>7000</v>
      </c>
      <c r="D435" s="692">
        <v>7252</v>
      </c>
      <c r="E435" s="692">
        <v>7252</v>
      </c>
      <c r="F435" s="691"/>
      <c r="G435" s="691"/>
      <c r="H435" s="687"/>
      <c r="I435" s="653" t="s">
        <v>757</v>
      </c>
      <c r="J435" s="653" t="s">
        <v>756</v>
      </c>
      <c r="K435" s="654">
        <v>7252</v>
      </c>
      <c r="L435" s="653">
        <f>ROUND(K435,0)</f>
        <v>7252</v>
      </c>
    </row>
    <row r="436" ht="37" customHeight="1" spans="1:12">
      <c r="A436" s="676" t="s">
        <v>758</v>
      </c>
      <c r="B436" s="725">
        <f>B437</f>
        <v>18943</v>
      </c>
      <c r="C436" s="678">
        <f>C437</f>
        <v>4379</v>
      </c>
      <c r="D436" s="679">
        <f>D437</f>
        <v>4890</v>
      </c>
      <c r="E436" s="679">
        <f>E437</f>
        <v>4890</v>
      </c>
      <c r="F436" s="704">
        <f>E436/D436*100</f>
        <v>100</v>
      </c>
      <c r="G436" s="704">
        <f>(E436/B436-1)*100</f>
        <v>-74.1857150398564</v>
      </c>
      <c r="H436" s="712" t="s">
        <v>759</v>
      </c>
      <c r="I436" s="697"/>
      <c r="J436" s="697"/>
      <c r="K436" s="698"/>
      <c r="L436" s="697"/>
    </row>
    <row r="437" ht="20.1" customHeight="1" spans="1:8">
      <c r="A437" s="682" t="s">
        <v>760</v>
      </c>
      <c r="B437" s="683">
        <f>SUM(B438:B442)</f>
        <v>18943</v>
      </c>
      <c r="C437" s="684">
        <f>SUM(C438:C442)</f>
        <v>4379</v>
      </c>
      <c r="D437" s="685">
        <f>SUM(D438:D442)</f>
        <v>4890</v>
      </c>
      <c r="E437" s="685">
        <f>SUM(E438:E442)</f>
        <v>4890</v>
      </c>
      <c r="F437" s="704"/>
      <c r="G437" s="704"/>
      <c r="H437" s="717"/>
    </row>
    <row r="438" ht="20.1" customHeight="1" spans="1:12">
      <c r="A438" s="688" t="s">
        <v>91</v>
      </c>
      <c r="B438" s="689">
        <v>1874</v>
      </c>
      <c r="C438" s="693">
        <v>1888</v>
      </c>
      <c r="D438" s="692">
        <v>1941</v>
      </c>
      <c r="E438" s="692">
        <v>1941</v>
      </c>
      <c r="F438" s="691"/>
      <c r="G438" s="691"/>
      <c r="H438" s="687"/>
      <c r="I438" s="653" t="s">
        <v>761</v>
      </c>
      <c r="J438" s="653" t="s">
        <v>91</v>
      </c>
      <c r="K438" s="654">
        <v>1941</v>
      </c>
      <c r="L438" s="653">
        <f>ROUND(K438,0)</f>
        <v>1941</v>
      </c>
    </row>
    <row r="439" ht="39" customHeight="1" spans="1:12">
      <c r="A439" s="688" t="s">
        <v>93</v>
      </c>
      <c r="B439" s="689">
        <v>1191</v>
      </c>
      <c r="C439" s="693">
        <v>1486</v>
      </c>
      <c r="D439" s="692">
        <v>845</v>
      </c>
      <c r="E439" s="692">
        <v>845</v>
      </c>
      <c r="F439" s="691"/>
      <c r="G439" s="691"/>
      <c r="H439" s="687"/>
      <c r="I439" s="653" t="s">
        <v>762</v>
      </c>
      <c r="J439" s="653" t="s">
        <v>93</v>
      </c>
      <c r="K439" s="654">
        <v>845</v>
      </c>
      <c r="L439" s="653">
        <f>ROUND(K439,0)</f>
        <v>845</v>
      </c>
    </row>
    <row r="440" ht="20.1" customHeight="1" spans="1:12">
      <c r="A440" s="688" t="s">
        <v>763</v>
      </c>
      <c r="B440" s="689">
        <v>14817</v>
      </c>
      <c r="C440" s="693"/>
      <c r="D440" s="692">
        <v>579</v>
      </c>
      <c r="E440" s="692">
        <v>579</v>
      </c>
      <c r="F440" s="686"/>
      <c r="G440" s="686"/>
      <c r="H440" s="687"/>
      <c r="I440" s="653" t="s">
        <v>764</v>
      </c>
      <c r="J440" s="653" t="s">
        <v>763</v>
      </c>
      <c r="K440" s="654">
        <v>579</v>
      </c>
      <c r="L440" s="653">
        <f>ROUND(K440,0)</f>
        <v>579</v>
      </c>
    </row>
    <row r="441" ht="20.1" customHeight="1" spans="1:8">
      <c r="A441" s="688" t="s">
        <v>765</v>
      </c>
      <c r="B441" s="689">
        <v>5</v>
      </c>
      <c r="C441" s="693"/>
      <c r="D441" s="692"/>
      <c r="E441" s="692"/>
      <c r="F441" s="691"/>
      <c r="G441" s="691"/>
      <c r="H441" s="687"/>
    </row>
    <row r="442" ht="20.1" customHeight="1" spans="1:12">
      <c r="A442" s="688" t="s">
        <v>766</v>
      </c>
      <c r="B442" s="689">
        <v>1056</v>
      </c>
      <c r="C442" s="693">
        <v>1005</v>
      </c>
      <c r="D442" s="692">
        <v>1525</v>
      </c>
      <c r="E442" s="692">
        <v>1525</v>
      </c>
      <c r="F442" s="691"/>
      <c r="G442" s="691"/>
      <c r="H442" s="687"/>
      <c r="I442" s="653" t="s">
        <v>767</v>
      </c>
      <c r="J442" s="653" t="s">
        <v>766</v>
      </c>
      <c r="K442" s="654">
        <v>1525</v>
      </c>
      <c r="L442" s="653">
        <f>ROUND(K442,0)</f>
        <v>1525</v>
      </c>
    </row>
    <row r="443" ht="47" customHeight="1" spans="1:12">
      <c r="A443" s="676" t="s">
        <v>768</v>
      </c>
      <c r="B443" s="677">
        <f>B444</f>
        <v>41001</v>
      </c>
      <c r="C443" s="678">
        <f>C444</f>
        <v>57000</v>
      </c>
      <c r="D443" s="679">
        <f>D444+D447</f>
        <v>47044</v>
      </c>
      <c r="E443" s="679">
        <f>E444+E447</f>
        <v>47044</v>
      </c>
      <c r="F443" s="704">
        <f>E443/D443*100</f>
        <v>100</v>
      </c>
      <c r="G443" s="704">
        <f>(E443/B443-1)*100</f>
        <v>14.7386649106119</v>
      </c>
      <c r="H443" s="726" t="s">
        <v>769</v>
      </c>
      <c r="I443" s="697"/>
      <c r="J443" s="697"/>
      <c r="K443" s="698"/>
      <c r="L443" s="697"/>
    </row>
    <row r="444" ht="20.1" customHeight="1" spans="1:8">
      <c r="A444" s="682" t="s">
        <v>770</v>
      </c>
      <c r="B444" s="683">
        <f>SUM(B445:B446)</f>
        <v>41001</v>
      </c>
      <c r="C444" s="684">
        <f>SUM(C445:C446)</f>
        <v>57000</v>
      </c>
      <c r="D444" s="685">
        <f>SUM(D445:D446)</f>
        <v>47004</v>
      </c>
      <c r="E444" s="685">
        <f>SUM(E445:E446)</f>
        <v>47004</v>
      </c>
      <c r="F444" s="704"/>
      <c r="G444" s="704"/>
      <c r="H444" s="727"/>
    </row>
    <row r="445" ht="20.1" customHeight="1" spans="1:12">
      <c r="A445" s="728" t="s">
        <v>771</v>
      </c>
      <c r="B445" s="689">
        <v>41000</v>
      </c>
      <c r="C445" s="693">
        <v>57000</v>
      </c>
      <c r="D445" s="692">
        <v>47000</v>
      </c>
      <c r="E445" s="692">
        <v>47000</v>
      </c>
      <c r="F445" s="691"/>
      <c r="G445" s="691"/>
      <c r="H445" s="687"/>
      <c r="I445" s="653" t="s">
        <v>772</v>
      </c>
      <c r="J445" s="653" t="s">
        <v>773</v>
      </c>
      <c r="K445" s="654">
        <v>47000</v>
      </c>
      <c r="L445" s="653">
        <f>ROUND(K445,0)</f>
        <v>47000</v>
      </c>
    </row>
    <row r="446" ht="20.1" customHeight="1" spans="1:12">
      <c r="A446" s="695" t="s">
        <v>774</v>
      </c>
      <c r="B446" s="689">
        <v>1</v>
      </c>
      <c r="C446" s="703">
        <v>0</v>
      </c>
      <c r="D446" s="692">
        <v>4</v>
      </c>
      <c r="E446" s="692">
        <v>4</v>
      </c>
      <c r="F446" s="691"/>
      <c r="G446" s="691"/>
      <c r="H446" s="687"/>
      <c r="I446" s="653" t="s">
        <v>775</v>
      </c>
      <c r="J446" s="653" t="s">
        <v>774</v>
      </c>
      <c r="K446" s="654">
        <v>4</v>
      </c>
      <c r="L446" s="653">
        <f>ROUND(K446,0)</f>
        <v>4</v>
      </c>
    </row>
    <row r="447" ht="20.1" customHeight="1" spans="1:8">
      <c r="A447" s="682" t="s">
        <v>776</v>
      </c>
      <c r="B447" s="729"/>
      <c r="C447" s="684"/>
      <c r="D447" s="685">
        <f>D448</f>
        <v>40</v>
      </c>
      <c r="E447" s="685">
        <f>E448</f>
        <v>40</v>
      </c>
      <c r="F447" s="691"/>
      <c r="G447" s="691"/>
      <c r="H447" s="687"/>
    </row>
    <row r="448" ht="20.1" customHeight="1" spans="1:12">
      <c r="A448" s="730" t="s">
        <v>777</v>
      </c>
      <c r="B448" s="689"/>
      <c r="C448" s="703"/>
      <c r="D448" s="692">
        <v>40</v>
      </c>
      <c r="E448" s="692">
        <v>40</v>
      </c>
      <c r="F448" s="691"/>
      <c r="G448" s="691"/>
      <c r="H448" s="687"/>
      <c r="I448" s="653" t="s">
        <v>778</v>
      </c>
      <c r="J448" s="653" t="s">
        <v>777</v>
      </c>
      <c r="K448" s="654">
        <v>40</v>
      </c>
      <c r="L448" s="653">
        <f>ROUND(K448,0)</f>
        <v>40</v>
      </c>
    </row>
    <row r="449" ht="39" customHeight="1" spans="1:12">
      <c r="A449" s="676" t="s">
        <v>779</v>
      </c>
      <c r="B449" s="677">
        <f>SUM(B450+B453)</f>
        <v>2314</v>
      </c>
      <c r="C449" s="678">
        <f>SUM(C450+C453)</f>
        <v>2027</v>
      </c>
      <c r="D449" s="679">
        <f>SUM(D450+D453)</f>
        <v>3042</v>
      </c>
      <c r="E449" s="679">
        <f>SUM(E450+E453)</f>
        <v>3042</v>
      </c>
      <c r="F449" s="704">
        <f>E449/D449*100</f>
        <v>100</v>
      </c>
      <c r="G449" s="704">
        <f>(E449/B449-1)*100</f>
        <v>31.4606741573034</v>
      </c>
      <c r="H449" s="722" t="s">
        <v>780</v>
      </c>
      <c r="I449" s="697"/>
      <c r="J449" s="697"/>
      <c r="K449" s="698"/>
      <c r="L449" s="697"/>
    </row>
    <row r="450" ht="21" customHeight="1" spans="1:8">
      <c r="A450" s="682" t="s">
        <v>781</v>
      </c>
      <c r="B450" s="683">
        <f>B452+B451</f>
        <v>562</v>
      </c>
      <c r="C450" s="684">
        <f>SUM(C451:C452)</f>
        <v>674</v>
      </c>
      <c r="D450" s="685">
        <f>SUM(D451:D452)</f>
        <v>693</v>
      </c>
      <c r="E450" s="685">
        <f>SUM(E451:E452)</f>
        <v>693</v>
      </c>
      <c r="F450" s="704"/>
      <c r="G450" s="704"/>
      <c r="H450" s="727"/>
    </row>
    <row r="451" ht="21" customHeight="1" spans="1:12">
      <c r="A451" s="714" t="s">
        <v>782</v>
      </c>
      <c r="B451" s="689">
        <v>232</v>
      </c>
      <c r="C451" s="693">
        <v>254</v>
      </c>
      <c r="D451" s="692">
        <v>273</v>
      </c>
      <c r="E451" s="692">
        <v>273</v>
      </c>
      <c r="F451" s="691"/>
      <c r="G451" s="691"/>
      <c r="H451" s="687"/>
      <c r="I451" s="653" t="s">
        <v>783</v>
      </c>
      <c r="J451" s="653" t="s">
        <v>101</v>
      </c>
      <c r="K451" s="654">
        <v>273</v>
      </c>
      <c r="L451" s="653">
        <f>ROUND(K451,0)</f>
        <v>273</v>
      </c>
    </row>
    <row r="452" ht="21" customHeight="1" spans="1:12">
      <c r="A452" s="688" t="s">
        <v>784</v>
      </c>
      <c r="B452" s="689">
        <v>330</v>
      </c>
      <c r="C452" s="693">
        <v>420</v>
      </c>
      <c r="D452" s="692">
        <v>420</v>
      </c>
      <c r="E452" s="692">
        <v>420</v>
      </c>
      <c r="F452" s="691"/>
      <c r="G452" s="691"/>
      <c r="H452" s="687"/>
      <c r="I452" s="653" t="s">
        <v>785</v>
      </c>
      <c r="J452" s="653" t="s">
        <v>784</v>
      </c>
      <c r="K452" s="654">
        <v>1453</v>
      </c>
      <c r="L452" s="653">
        <f>ROUND(K452,0)</f>
        <v>1453</v>
      </c>
    </row>
    <row r="453" ht="21" customHeight="1" spans="1:8">
      <c r="A453" s="682" t="s">
        <v>786</v>
      </c>
      <c r="B453" s="683">
        <f>SUM(B454:B456)</f>
        <v>1752</v>
      </c>
      <c r="C453" s="684">
        <f>SUM(C454:C456)</f>
        <v>1353</v>
      </c>
      <c r="D453" s="685">
        <f>SUM(D454:D456)</f>
        <v>2349</v>
      </c>
      <c r="E453" s="685">
        <f>SUM(E454:E456)</f>
        <v>2349</v>
      </c>
      <c r="F453" s="691"/>
      <c r="G453" s="691"/>
      <c r="H453" s="687"/>
    </row>
    <row r="454" ht="21" customHeight="1" spans="1:12">
      <c r="A454" s="688" t="s">
        <v>91</v>
      </c>
      <c r="B454" s="689">
        <v>316</v>
      </c>
      <c r="C454" s="693">
        <v>312</v>
      </c>
      <c r="D454" s="692">
        <v>317</v>
      </c>
      <c r="E454" s="692">
        <v>317</v>
      </c>
      <c r="F454" s="691"/>
      <c r="G454" s="691"/>
      <c r="H454" s="687"/>
      <c r="I454" s="653" t="s">
        <v>787</v>
      </c>
      <c r="J454" s="653" t="s">
        <v>91</v>
      </c>
      <c r="K454" s="654">
        <v>317</v>
      </c>
      <c r="L454" s="653">
        <f>ROUND(K454,0)</f>
        <v>317</v>
      </c>
    </row>
    <row r="455" ht="21" customHeight="1" spans="1:12">
      <c r="A455" s="688" t="s">
        <v>93</v>
      </c>
      <c r="B455" s="689">
        <v>1036</v>
      </c>
      <c r="C455" s="693">
        <v>1041</v>
      </c>
      <c r="D455" s="692">
        <v>1231</v>
      </c>
      <c r="E455" s="692">
        <v>1231</v>
      </c>
      <c r="F455" s="691"/>
      <c r="G455" s="691"/>
      <c r="H455" s="687"/>
      <c r="I455" s="653" t="s">
        <v>788</v>
      </c>
      <c r="J455" s="653" t="s">
        <v>93</v>
      </c>
      <c r="K455" s="654">
        <v>1231</v>
      </c>
      <c r="L455" s="653">
        <f>ROUND(K455,0)</f>
        <v>1231</v>
      </c>
    </row>
    <row r="456" ht="21" customHeight="1" spans="1:12">
      <c r="A456" s="688" t="s">
        <v>789</v>
      </c>
      <c r="B456" s="689">
        <v>400</v>
      </c>
      <c r="C456" s="703"/>
      <c r="D456" s="692">
        <v>801</v>
      </c>
      <c r="E456" s="692">
        <v>801</v>
      </c>
      <c r="F456" s="686"/>
      <c r="G456" s="686"/>
      <c r="H456" s="687"/>
      <c r="I456" s="653" t="s">
        <v>790</v>
      </c>
      <c r="J456" s="653" t="s">
        <v>789</v>
      </c>
      <c r="K456" s="654">
        <v>801</v>
      </c>
      <c r="L456" s="653">
        <f>ROUND(K456,0)</f>
        <v>801</v>
      </c>
    </row>
    <row r="457" ht="21" customHeight="1" spans="1:12">
      <c r="A457" s="676" t="s">
        <v>791</v>
      </c>
      <c r="B457" s="677">
        <f>B458</f>
        <v>149</v>
      </c>
      <c r="C457" s="731"/>
      <c r="D457" s="679">
        <f>D458</f>
        <v>30</v>
      </c>
      <c r="E457" s="679">
        <f>E458</f>
        <v>30</v>
      </c>
      <c r="F457" s="704">
        <f>E457/D457*100</f>
        <v>100</v>
      </c>
      <c r="G457" s="704">
        <f>(E457/B457-1)*100</f>
        <v>-79.8657718120805</v>
      </c>
      <c r="H457" s="687"/>
      <c r="I457" s="697"/>
      <c r="J457" s="697"/>
      <c r="K457" s="698"/>
      <c r="L457" s="697"/>
    </row>
    <row r="458" ht="21" customHeight="1" spans="1:8">
      <c r="A458" s="682" t="s">
        <v>792</v>
      </c>
      <c r="B458" s="729">
        <f>B459</f>
        <v>149</v>
      </c>
      <c r="C458" s="684"/>
      <c r="D458" s="685">
        <f>D459</f>
        <v>30</v>
      </c>
      <c r="E458" s="685">
        <f>E459</f>
        <v>30</v>
      </c>
      <c r="F458" s="704"/>
      <c r="G458" s="704"/>
      <c r="H458" s="732"/>
    </row>
    <row r="459" ht="21" customHeight="1" spans="1:12">
      <c r="A459" s="688" t="s">
        <v>793</v>
      </c>
      <c r="B459" s="689">
        <v>149</v>
      </c>
      <c r="C459" s="703"/>
      <c r="D459" s="692">
        <v>30</v>
      </c>
      <c r="E459" s="692">
        <v>30</v>
      </c>
      <c r="F459" s="686"/>
      <c r="G459" s="686"/>
      <c r="H459" s="711"/>
      <c r="I459" s="653" t="s">
        <v>794</v>
      </c>
      <c r="J459" s="653" t="s">
        <v>793</v>
      </c>
      <c r="K459" s="654">
        <v>30</v>
      </c>
      <c r="L459" s="653">
        <f>ROUND(K459,0)</f>
        <v>30</v>
      </c>
    </row>
    <row r="460" spans="1:12">
      <c r="A460" s="676" t="s">
        <v>795</v>
      </c>
      <c r="B460" s="677">
        <f>SUM(B461,B472)</f>
        <v>7293</v>
      </c>
      <c r="C460" s="678">
        <f>SUM(C461,C472)</f>
        <v>7416</v>
      </c>
      <c r="D460" s="679">
        <f>SUM(D461,D472)</f>
        <v>8095</v>
      </c>
      <c r="E460" s="679">
        <f>SUM(E461,E472)</f>
        <v>8095</v>
      </c>
      <c r="F460" s="704">
        <f>E460/D460*100</f>
        <v>100</v>
      </c>
      <c r="G460" s="704">
        <f>(E460/B460-1)*100</f>
        <v>10.9968462909639</v>
      </c>
      <c r="H460" s="687"/>
      <c r="I460" s="697"/>
      <c r="J460" s="697"/>
      <c r="K460" s="698"/>
      <c r="L460" s="697"/>
    </row>
    <row r="461" ht="20.1" customHeight="1" spans="1:8">
      <c r="A461" s="682" t="s">
        <v>796</v>
      </c>
      <c r="B461" s="683">
        <f>SUM(B462:B471)</f>
        <v>7058</v>
      </c>
      <c r="C461" s="684">
        <f>SUM(C462:C471)</f>
        <v>7028</v>
      </c>
      <c r="D461" s="685">
        <f>SUM(D462:D471)</f>
        <v>7445</v>
      </c>
      <c r="E461" s="685">
        <f>SUM(E462:E471)</f>
        <v>7445</v>
      </c>
      <c r="F461" s="704"/>
      <c r="G461" s="704"/>
      <c r="H461" s="733"/>
    </row>
    <row r="462" ht="20.1" customHeight="1" spans="1:12">
      <c r="A462" s="688" t="s">
        <v>91</v>
      </c>
      <c r="B462" s="689">
        <v>2276</v>
      </c>
      <c r="C462" s="693">
        <v>2283</v>
      </c>
      <c r="D462" s="692">
        <v>2525</v>
      </c>
      <c r="E462" s="692">
        <v>2525</v>
      </c>
      <c r="F462" s="691"/>
      <c r="G462" s="691"/>
      <c r="H462" s="687"/>
      <c r="I462" s="653" t="s">
        <v>797</v>
      </c>
      <c r="J462" s="653" t="s">
        <v>91</v>
      </c>
      <c r="K462" s="654">
        <v>2525</v>
      </c>
      <c r="L462" s="653">
        <f>ROUND(K462,0)</f>
        <v>2525</v>
      </c>
    </row>
    <row r="463" ht="20.1" customHeight="1" spans="1:12">
      <c r="A463" s="688" t="s">
        <v>93</v>
      </c>
      <c r="B463" s="689">
        <v>143</v>
      </c>
      <c r="C463" s="693">
        <v>110</v>
      </c>
      <c r="D463" s="690">
        <v>125</v>
      </c>
      <c r="E463" s="690">
        <v>125</v>
      </c>
      <c r="F463" s="691"/>
      <c r="G463" s="691"/>
      <c r="H463" s="687"/>
      <c r="I463" s="653" t="s">
        <v>798</v>
      </c>
      <c r="J463" s="653" t="s">
        <v>93</v>
      </c>
      <c r="K463" s="654">
        <v>125</v>
      </c>
      <c r="L463" s="653">
        <f>ROUND(K463,0)</f>
        <v>125</v>
      </c>
    </row>
    <row r="464" ht="20.1" customHeight="1" spans="1:8">
      <c r="A464" s="688" t="s">
        <v>799</v>
      </c>
      <c r="B464" s="689">
        <v>714</v>
      </c>
      <c r="C464" s="140"/>
      <c r="D464" s="690"/>
      <c r="E464" s="690"/>
      <c r="F464" s="691"/>
      <c r="G464" s="691"/>
      <c r="H464" s="687"/>
    </row>
    <row r="465" ht="21.95" customHeight="1" spans="1:12">
      <c r="A465" s="688" t="s">
        <v>800</v>
      </c>
      <c r="B465" s="689">
        <v>200</v>
      </c>
      <c r="C465" s="140"/>
      <c r="D465" s="690">
        <v>1455</v>
      </c>
      <c r="E465" s="690">
        <v>1455</v>
      </c>
      <c r="F465" s="691"/>
      <c r="G465" s="691"/>
      <c r="H465" s="687"/>
      <c r="I465" s="653" t="s">
        <v>801</v>
      </c>
      <c r="J465" s="653" t="s">
        <v>800</v>
      </c>
      <c r="K465" s="654">
        <v>1455</v>
      </c>
      <c r="L465" s="653">
        <f t="shared" ref="L465:L471" si="13">ROUND(K465,0)</f>
        <v>1455</v>
      </c>
    </row>
    <row r="466" ht="20.1" customHeight="1" spans="1:12">
      <c r="A466" s="688" t="s">
        <v>802</v>
      </c>
      <c r="B466" s="689">
        <v>1345</v>
      </c>
      <c r="C466" s="140">
        <v>250</v>
      </c>
      <c r="D466" s="690">
        <v>728</v>
      </c>
      <c r="E466" s="690">
        <v>728</v>
      </c>
      <c r="F466" s="691"/>
      <c r="G466" s="691"/>
      <c r="H466" s="687"/>
      <c r="I466" s="653" t="s">
        <v>803</v>
      </c>
      <c r="J466" s="653" t="s">
        <v>802</v>
      </c>
      <c r="K466" s="654">
        <v>728</v>
      </c>
      <c r="L466" s="653">
        <f t="shared" si="13"/>
        <v>728</v>
      </c>
    </row>
    <row r="467" ht="20.1" customHeight="1" spans="1:12">
      <c r="A467" s="688" t="s">
        <v>804</v>
      </c>
      <c r="B467" s="696"/>
      <c r="C467" s="140">
        <v>40</v>
      </c>
      <c r="D467" s="690">
        <v>40</v>
      </c>
      <c r="E467" s="690">
        <v>40</v>
      </c>
      <c r="F467" s="691"/>
      <c r="G467" s="691"/>
      <c r="H467" s="687"/>
      <c r="I467" s="645" t="s">
        <v>805</v>
      </c>
      <c r="J467" s="645" t="s">
        <v>804</v>
      </c>
      <c r="K467" s="707">
        <v>40</v>
      </c>
      <c r="L467" s="653">
        <f t="shared" si="13"/>
        <v>40</v>
      </c>
    </row>
    <row r="468" ht="20.1" customHeight="1" spans="1:12">
      <c r="A468" s="688" t="s">
        <v>806</v>
      </c>
      <c r="B468" s="689">
        <v>34</v>
      </c>
      <c r="C468" s="140">
        <v>35</v>
      </c>
      <c r="D468" s="690">
        <v>86</v>
      </c>
      <c r="E468" s="690">
        <v>86</v>
      </c>
      <c r="F468" s="691"/>
      <c r="G468" s="691"/>
      <c r="H468" s="687"/>
      <c r="I468" s="653" t="s">
        <v>807</v>
      </c>
      <c r="J468" s="653" t="s">
        <v>806</v>
      </c>
      <c r="K468" s="654">
        <v>86</v>
      </c>
      <c r="L468" s="653">
        <f t="shared" si="13"/>
        <v>86</v>
      </c>
    </row>
    <row r="469" ht="20.1" customHeight="1" spans="1:12">
      <c r="A469" s="688" t="s">
        <v>808</v>
      </c>
      <c r="B469" s="689">
        <v>176</v>
      </c>
      <c r="C469" s="693">
        <v>180</v>
      </c>
      <c r="D469" s="690">
        <v>180</v>
      </c>
      <c r="E469" s="690">
        <v>180</v>
      </c>
      <c r="F469" s="691"/>
      <c r="G469" s="691"/>
      <c r="H469" s="687"/>
      <c r="I469" s="653" t="s">
        <v>809</v>
      </c>
      <c r="J469" s="653" t="s">
        <v>808</v>
      </c>
      <c r="K469" s="654">
        <v>180</v>
      </c>
      <c r="L469" s="653">
        <f t="shared" si="13"/>
        <v>180</v>
      </c>
    </row>
    <row r="470" ht="20.1" customHeight="1" spans="1:12">
      <c r="A470" s="688" t="s">
        <v>810</v>
      </c>
      <c r="B470" s="689">
        <v>132</v>
      </c>
      <c r="C470" s="140"/>
      <c r="D470" s="692">
        <v>264</v>
      </c>
      <c r="E470" s="692">
        <v>264</v>
      </c>
      <c r="F470" s="691"/>
      <c r="G470" s="691"/>
      <c r="H470" s="687"/>
      <c r="I470" s="653" t="s">
        <v>811</v>
      </c>
      <c r="J470" s="653" t="s">
        <v>810</v>
      </c>
      <c r="K470" s="654">
        <v>264</v>
      </c>
      <c r="L470" s="653">
        <f t="shared" si="13"/>
        <v>264</v>
      </c>
    </row>
    <row r="471" ht="20.1" customHeight="1" spans="1:12">
      <c r="A471" s="688" t="s">
        <v>812</v>
      </c>
      <c r="B471" s="689">
        <v>2038</v>
      </c>
      <c r="C471" s="693">
        <v>4130</v>
      </c>
      <c r="D471" s="690">
        <v>2042</v>
      </c>
      <c r="E471" s="690">
        <v>2042</v>
      </c>
      <c r="F471" s="686"/>
      <c r="G471" s="686"/>
      <c r="H471" s="687"/>
      <c r="I471" s="653" t="s">
        <v>813</v>
      </c>
      <c r="J471" s="653" t="s">
        <v>812</v>
      </c>
      <c r="K471" s="654">
        <v>4454</v>
      </c>
      <c r="L471" s="653">
        <f t="shared" si="13"/>
        <v>4454</v>
      </c>
    </row>
    <row r="472" ht="20.1" customHeight="1" spans="1:8">
      <c r="A472" s="682" t="s">
        <v>814</v>
      </c>
      <c r="B472" s="683">
        <f>SUM(B473:B478)</f>
        <v>235</v>
      </c>
      <c r="C472" s="684">
        <f>SUM(C473:C478)</f>
        <v>388</v>
      </c>
      <c r="D472" s="685">
        <f>SUM(D473:D478)</f>
        <v>650</v>
      </c>
      <c r="E472" s="685">
        <f>SUM(E473:E478)</f>
        <v>650</v>
      </c>
      <c r="F472" s="691"/>
      <c r="G472" s="691"/>
      <c r="H472" s="687"/>
    </row>
    <row r="473" ht="20.1" customHeight="1" spans="1:12">
      <c r="A473" s="734" t="s">
        <v>815</v>
      </c>
      <c r="B473" s="689">
        <v>26</v>
      </c>
      <c r="C473" s="693">
        <v>51</v>
      </c>
      <c r="D473" s="692">
        <v>67</v>
      </c>
      <c r="E473" s="692">
        <v>67</v>
      </c>
      <c r="F473" s="704"/>
      <c r="G473" s="704"/>
      <c r="H473" s="735"/>
      <c r="I473" s="653" t="s">
        <v>816</v>
      </c>
      <c r="J473" s="653" t="s">
        <v>91</v>
      </c>
      <c r="K473" s="654">
        <v>67</v>
      </c>
      <c r="L473" s="653">
        <f t="shared" ref="L473:L478" si="14">ROUND(K473,0)</f>
        <v>67</v>
      </c>
    </row>
    <row r="474" ht="20.1" customHeight="1" spans="1:12">
      <c r="A474" s="688" t="s">
        <v>817</v>
      </c>
      <c r="B474" s="689">
        <v>32</v>
      </c>
      <c r="C474" s="693">
        <v>59</v>
      </c>
      <c r="D474" s="692">
        <v>82</v>
      </c>
      <c r="E474" s="692">
        <v>82</v>
      </c>
      <c r="F474" s="704"/>
      <c r="G474" s="704"/>
      <c r="H474" s="735"/>
      <c r="I474" s="653" t="s">
        <v>818</v>
      </c>
      <c r="J474" s="653" t="s">
        <v>817</v>
      </c>
      <c r="K474" s="654">
        <v>82</v>
      </c>
      <c r="L474" s="653">
        <f t="shared" si="14"/>
        <v>82</v>
      </c>
    </row>
    <row r="475" ht="20.1" customHeight="1" spans="1:12">
      <c r="A475" s="688" t="s">
        <v>819</v>
      </c>
      <c r="B475" s="689">
        <v>113</v>
      </c>
      <c r="C475" s="693">
        <v>142</v>
      </c>
      <c r="D475" s="692">
        <v>142</v>
      </c>
      <c r="E475" s="692">
        <v>142</v>
      </c>
      <c r="F475" s="691"/>
      <c r="G475" s="691"/>
      <c r="H475" s="735"/>
      <c r="I475" s="653" t="s">
        <v>820</v>
      </c>
      <c r="J475" s="653" t="s">
        <v>819</v>
      </c>
      <c r="K475" s="654">
        <v>142</v>
      </c>
      <c r="L475" s="653">
        <f t="shared" si="14"/>
        <v>142</v>
      </c>
    </row>
    <row r="476" ht="20.1" customHeight="1" spans="1:12">
      <c r="A476" s="688" t="s">
        <v>821</v>
      </c>
      <c r="B476" s="702"/>
      <c r="C476" s="693">
        <v>30</v>
      </c>
      <c r="D476" s="692">
        <v>253</v>
      </c>
      <c r="E476" s="692">
        <v>253</v>
      </c>
      <c r="F476" s="691"/>
      <c r="G476" s="691"/>
      <c r="H476" s="735"/>
      <c r="I476" s="653" t="s">
        <v>822</v>
      </c>
      <c r="J476" s="653" t="s">
        <v>821</v>
      </c>
      <c r="K476" s="654">
        <v>253</v>
      </c>
      <c r="L476" s="653">
        <f t="shared" si="14"/>
        <v>253</v>
      </c>
    </row>
    <row r="477" ht="20.1" customHeight="1" spans="1:12">
      <c r="A477" s="688" t="s">
        <v>823</v>
      </c>
      <c r="B477" s="736">
        <v>9</v>
      </c>
      <c r="C477" s="140">
        <v>9</v>
      </c>
      <c r="D477" s="692">
        <v>9</v>
      </c>
      <c r="E477" s="692">
        <v>9</v>
      </c>
      <c r="F477" s="704"/>
      <c r="G477" s="704"/>
      <c r="H477" s="737"/>
      <c r="I477" s="653" t="s">
        <v>824</v>
      </c>
      <c r="J477" s="653" t="s">
        <v>823</v>
      </c>
      <c r="K477" s="654">
        <v>9</v>
      </c>
      <c r="L477" s="653">
        <f t="shared" si="14"/>
        <v>9</v>
      </c>
    </row>
    <row r="478" ht="20.1" customHeight="1" spans="1:12">
      <c r="A478" s="688" t="s">
        <v>825</v>
      </c>
      <c r="B478" s="702">
        <v>55</v>
      </c>
      <c r="C478" s="693">
        <v>97</v>
      </c>
      <c r="D478" s="692">
        <v>97</v>
      </c>
      <c r="E478" s="692">
        <v>97</v>
      </c>
      <c r="F478" s="691"/>
      <c r="G478" s="691"/>
      <c r="H478" s="735"/>
      <c r="I478" s="653" t="s">
        <v>826</v>
      </c>
      <c r="J478" s="653" t="s">
        <v>825</v>
      </c>
      <c r="K478" s="654">
        <v>97</v>
      </c>
      <c r="L478" s="653">
        <f t="shared" si="14"/>
        <v>97</v>
      </c>
    </row>
    <row r="479" ht="78" customHeight="1" spans="1:12">
      <c r="A479" s="676" t="s">
        <v>827</v>
      </c>
      <c r="B479" s="677">
        <f>B480</f>
        <v>136</v>
      </c>
      <c r="C479" s="678">
        <f>C480</f>
        <v>86</v>
      </c>
      <c r="D479" s="679">
        <f>D480</f>
        <v>1113</v>
      </c>
      <c r="E479" s="679">
        <f>E480</f>
        <v>1113</v>
      </c>
      <c r="F479" s="704">
        <f>E479/D479*100</f>
        <v>100</v>
      </c>
      <c r="G479" s="704">
        <f>(E479/B479-1)*100</f>
        <v>718.382352941176</v>
      </c>
      <c r="H479" s="738" t="s">
        <v>828</v>
      </c>
      <c r="I479" s="697"/>
      <c r="J479" s="697"/>
      <c r="K479" s="698"/>
      <c r="L479" s="697"/>
    </row>
    <row r="480" ht="20.1" customHeight="1" spans="1:8">
      <c r="A480" s="682" t="s">
        <v>829</v>
      </c>
      <c r="B480" s="683">
        <f>SUM(B481:B483)</f>
        <v>136</v>
      </c>
      <c r="C480" s="684">
        <f>SUM(C481:C483)</f>
        <v>86</v>
      </c>
      <c r="D480" s="684">
        <f>SUM(D481:D484)</f>
        <v>1113</v>
      </c>
      <c r="E480" s="684">
        <f>SUM(E481:E484)</f>
        <v>1113</v>
      </c>
      <c r="F480" s="704"/>
      <c r="G480" s="704"/>
      <c r="H480" s="733"/>
    </row>
    <row r="481" ht="20.1" customHeight="1" spans="1:12">
      <c r="A481" s="688" t="s">
        <v>830</v>
      </c>
      <c r="B481" s="689">
        <v>66</v>
      </c>
      <c r="C481" s="703">
        <v>66</v>
      </c>
      <c r="D481" s="692">
        <v>66</v>
      </c>
      <c r="E481" s="692">
        <v>66</v>
      </c>
      <c r="F481" s="739"/>
      <c r="G481" s="739"/>
      <c r="H481" s="740"/>
      <c r="I481" s="653" t="s">
        <v>831</v>
      </c>
      <c r="J481" s="653" t="s">
        <v>830</v>
      </c>
      <c r="K481" s="654">
        <v>160</v>
      </c>
      <c r="L481" s="653">
        <f>ROUND(K481,0)</f>
        <v>160</v>
      </c>
    </row>
    <row r="482" ht="20.1" customHeight="1" spans="1:12">
      <c r="A482" s="688" t="s">
        <v>832</v>
      </c>
      <c r="B482" s="689">
        <v>50</v>
      </c>
      <c r="C482" s="703"/>
      <c r="D482" s="692">
        <v>91</v>
      </c>
      <c r="E482" s="692">
        <v>91</v>
      </c>
      <c r="F482" s="739"/>
      <c r="G482" s="739"/>
      <c r="H482" s="740"/>
      <c r="I482" s="653" t="s">
        <v>833</v>
      </c>
      <c r="J482" s="653" t="s">
        <v>832</v>
      </c>
      <c r="K482" s="654">
        <v>91</v>
      </c>
      <c r="L482" s="653">
        <f>ROUND(K482,0)</f>
        <v>91</v>
      </c>
    </row>
    <row r="483" ht="20.1" customHeight="1" spans="1:12">
      <c r="A483" s="544" t="s">
        <v>834</v>
      </c>
      <c r="B483" s="689">
        <v>20</v>
      </c>
      <c r="C483" s="703">
        <v>20</v>
      </c>
      <c r="D483" s="692">
        <v>500</v>
      </c>
      <c r="E483" s="692">
        <v>500</v>
      </c>
      <c r="F483" s="739"/>
      <c r="G483" s="739"/>
      <c r="H483" s="740"/>
      <c r="I483" s="653" t="s">
        <v>835</v>
      </c>
      <c r="J483" s="653" t="s">
        <v>834</v>
      </c>
      <c r="K483" s="654">
        <v>500</v>
      </c>
      <c r="L483" s="653">
        <f>ROUND(K483,0)</f>
        <v>500</v>
      </c>
    </row>
    <row r="484" ht="20.1" customHeight="1" spans="1:12">
      <c r="A484" s="544" t="s">
        <v>836</v>
      </c>
      <c r="B484" s="689"/>
      <c r="C484" s="703"/>
      <c r="D484" s="692">
        <v>456</v>
      </c>
      <c r="E484" s="692">
        <v>456</v>
      </c>
      <c r="F484" s="739"/>
      <c r="G484" s="739"/>
      <c r="H484" s="740"/>
      <c r="I484" s="653" t="s">
        <v>837</v>
      </c>
      <c r="J484" s="653" t="s">
        <v>836</v>
      </c>
      <c r="K484" s="654">
        <v>456</v>
      </c>
      <c r="L484" s="653">
        <f>ROUND(K484,0)</f>
        <v>456</v>
      </c>
    </row>
    <row r="485" ht="20.1" customHeight="1" spans="1:12">
      <c r="A485" s="676" t="s">
        <v>838</v>
      </c>
      <c r="B485" s="677">
        <f>B486+B489</f>
        <v>1512</v>
      </c>
      <c r="C485" s="678">
        <f>C486</f>
        <v>1500</v>
      </c>
      <c r="D485" s="679">
        <f>SUM(D486,D489)</f>
        <v>1523</v>
      </c>
      <c r="E485" s="679">
        <v>1523</v>
      </c>
      <c r="F485" s="704">
        <f>E485/D485*100</f>
        <v>100</v>
      </c>
      <c r="G485" s="704">
        <f>(E485/B485-1)*100</f>
        <v>0.727513227513232</v>
      </c>
      <c r="H485" s="740"/>
      <c r="I485" s="697"/>
      <c r="J485" s="697"/>
      <c r="K485" s="698"/>
      <c r="L485" s="697"/>
    </row>
    <row r="486" ht="20.1" customHeight="1" spans="1:12">
      <c r="A486" s="682" t="s">
        <v>839</v>
      </c>
      <c r="B486" s="683">
        <f>SUM(B487:B488)</f>
        <v>1512</v>
      </c>
      <c r="C486" s="684">
        <f>SUM(C487:C487)</f>
        <v>1500</v>
      </c>
      <c r="D486" s="685">
        <f>SUM(D487:D487)</f>
        <v>1500</v>
      </c>
      <c r="E486" s="685">
        <v>1500</v>
      </c>
      <c r="F486" s="704"/>
      <c r="G486" s="704"/>
      <c r="H486" s="741"/>
      <c r="I486" s="653" t="s">
        <v>840</v>
      </c>
      <c r="J486" s="653" t="s">
        <v>841</v>
      </c>
      <c r="K486" s="654">
        <v>1500</v>
      </c>
      <c r="L486" s="653">
        <f>ROUND(K486,0)</f>
        <v>1500</v>
      </c>
    </row>
    <row r="487" ht="20.1" customHeight="1" spans="1:8">
      <c r="A487" s="688" t="s">
        <v>841</v>
      </c>
      <c r="B487" s="689">
        <v>1500</v>
      </c>
      <c r="C487" s="693">
        <v>1500</v>
      </c>
      <c r="D487" s="692">
        <v>1500</v>
      </c>
      <c r="E487" s="692">
        <v>1500</v>
      </c>
      <c r="F487" s="739"/>
      <c r="G487" s="739"/>
      <c r="H487" s="740"/>
    </row>
    <row r="488" spans="1:8">
      <c r="A488" s="688" t="s">
        <v>842</v>
      </c>
      <c r="B488" s="689">
        <v>12</v>
      </c>
      <c r="C488" s="693"/>
      <c r="D488" s="692"/>
      <c r="E488" s="692"/>
      <c r="F488" s="739"/>
      <c r="G488" s="739"/>
      <c r="H488" s="740"/>
    </row>
    <row r="489" ht="20.1" customHeight="1" spans="1:8">
      <c r="A489" s="682" t="s">
        <v>843</v>
      </c>
      <c r="B489" s="683">
        <f>B490</f>
        <v>0</v>
      </c>
      <c r="C489" s="684"/>
      <c r="D489" s="685">
        <f>D490</f>
        <v>23</v>
      </c>
      <c r="E489" s="685">
        <v>23</v>
      </c>
      <c r="F489" s="739"/>
      <c r="G489" s="739"/>
      <c r="H489" s="740"/>
    </row>
    <row r="490" ht="18" customHeight="1" spans="1:12">
      <c r="A490" s="688" t="s">
        <v>844</v>
      </c>
      <c r="B490" s="696"/>
      <c r="C490" s="703">
        <v>0</v>
      </c>
      <c r="D490" s="692">
        <v>23</v>
      </c>
      <c r="E490" s="692">
        <v>23</v>
      </c>
      <c r="F490" s="739"/>
      <c r="G490" s="739"/>
      <c r="H490" s="740"/>
      <c r="I490" s="653" t="s">
        <v>845</v>
      </c>
      <c r="J490" s="653" t="s">
        <v>844</v>
      </c>
      <c r="K490" s="654">
        <v>23</v>
      </c>
      <c r="L490" s="653">
        <f>ROUND(K490,0)</f>
        <v>23</v>
      </c>
    </row>
    <row r="491" ht="35" customHeight="1" spans="1:12">
      <c r="A491" s="676" t="s">
        <v>846</v>
      </c>
      <c r="B491" s="677">
        <f>SUM(B492,B500,B503,B505)</f>
        <v>3413</v>
      </c>
      <c r="C491" s="678">
        <f>SUM(C492,C500,C503,C505)</f>
        <v>4103</v>
      </c>
      <c r="D491" s="679">
        <f>SUM(D492,D500,D503,D505,D509)</f>
        <v>8204</v>
      </c>
      <c r="E491" s="679">
        <f>SUM(E492,E500,E503,E505,E509)</f>
        <v>8204</v>
      </c>
      <c r="F491" s="704">
        <f>E491/D491*100</f>
        <v>100</v>
      </c>
      <c r="G491" s="704">
        <f>(E491/B491-1)*100</f>
        <v>140.37503662467</v>
      </c>
      <c r="H491" s="738" t="s">
        <v>847</v>
      </c>
      <c r="I491" s="697"/>
      <c r="J491" s="697"/>
      <c r="K491" s="698"/>
      <c r="L491" s="697"/>
    </row>
    <row r="492" spans="1:8">
      <c r="A492" s="682" t="s">
        <v>848</v>
      </c>
      <c r="B492" s="683">
        <f>SUM(B493:B499)</f>
        <v>1176</v>
      </c>
      <c r="C492" s="684">
        <f>SUM(C493:C499)</f>
        <v>1906</v>
      </c>
      <c r="D492" s="685">
        <f>SUM(D493:D499)</f>
        <v>2399</v>
      </c>
      <c r="E492" s="685">
        <f>SUM(E493:E499)</f>
        <v>2399</v>
      </c>
      <c r="F492" s="704"/>
      <c r="G492" s="704"/>
      <c r="H492" s="741"/>
    </row>
    <row r="493" ht="18" customHeight="1" spans="1:12">
      <c r="A493" s="688" t="s">
        <v>91</v>
      </c>
      <c r="B493" s="689">
        <v>698</v>
      </c>
      <c r="C493" s="693">
        <v>772</v>
      </c>
      <c r="D493" s="692">
        <v>873</v>
      </c>
      <c r="E493" s="692">
        <v>873</v>
      </c>
      <c r="F493" s="739"/>
      <c r="G493" s="739"/>
      <c r="H493" s="740"/>
      <c r="I493" s="653" t="s">
        <v>849</v>
      </c>
      <c r="J493" s="653" t="s">
        <v>91</v>
      </c>
      <c r="K493" s="654">
        <v>873</v>
      </c>
      <c r="L493" s="653">
        <f t="shared" ref="L493:L499" si="15">ROUND(K493,0)</f>
        <v>873</v>
      </c>
    </row>
    <row r="494" ht="18" customHeight="1" spans="1:12">
      <c r="A494" s="688" t="s">
        <v>93</v>
      </c>
      <c r="B494" s="689">
        <v>119</v>
      </c>
      <c r="C494" s="140"/>
      <c r="D494" s="692">
        <v>20</v>
      </c>
      <c r="E494" s="692">
        <v>20</v>
      </c>
      <c r="F494" s="739"/>
      <c r="G494" s="739"/>
      <c r="H494" s="740"/>
      <c r="I494" s="653" t="s">
        <v>850</v>
      </c>
      <c r="J494" s="653" t="s">
        <v>93</v>
      </c>
      <c r="K494" s="654">
        <v>20</v>
      </c>
      <c r="L494" s="653">
        <f t="shared" si="15"/>
        <v>20</v>
      </c>
    </row>
    <row r="495" ht="18" customHeight="1" spans="1:12">
      <c r="A495" s="688" t="s">
        <v>851</v>
      </c>
      <c r="B495" s="689">
        <v>131</v>
      </c>
      <c r="C495" s="693">
        <v>133</v>
      </c>
      <c r="D495" s="692">
        <v>240</v>
      </c>
      <c r="E495" s="692">
        <v>240</v>
      </c>
      <c r="F495" s="739"/>
      <c r="G495" s="739"/>
      <c r="H495" s="740"/>
      <c r="I495" s="653" t="s">
        <v>852</v>
      </c>
      <c r="J495" s="653" t="s">
        <v>851</v>
      </c>
      <c r="K495" s="654">
        <v>240</v>
      </c>
      <c r="L495" s="653">
        <f t="shared" si="15"/>
        <v>240</v>
      </c>
    </row>
    <row r="496" ht="18" customHeight="1" spans="1:12">
      <c r="A496" s="688" t="s">
        <v>853</v>
      </c>
      <c r="B496" s="689">
        <v>69</v>
      </c>
      <c r="C496" s="693">
        <v>872</v>
      </c>
      <c r="D496" s="692">
        <v>1022</v>
      </c>
      <c r="E496" s="692">
        <v>1022</v>
      </c>
      <c r="F496" s="739"/>
      <c r="G496" s="739"/>
      <c r="H496" s="740"/>
      <c r="I496" s="653" t="s">
        <v>854</v>
      </c>
      <c r="J496" s="653" t="s">
        <v>853</v>
      </c>
      <c r="K496" s="654">
        <v>1022</v>
      </c>
      <c r="L496" s="653">
        <f t="shared" si="15"/>
        <v>1022</v>
      </c>
    </row>
    <row r="497" ht="18" customHeight="1" spans="1:12">
      <c r="A497" s="688" t="s">
        <v>855</v>
      </c>
      <c r="B497" s="689"/>
      <c r="C497" s="693">
        <v>7</v>
      </c>
      <c r="D497" s="692">
        <v>7</v>
      </c>
      <c r="E497" s="692">
        <v>7</v>
      </c>
      <c r="F497" s="739"/>
      <c r="G497" s="739"/>
      <c r="H497" s="740"/>
      <c r="I497" s="653" t="s">
        <v>856</v>
      </c>
      <c r="J497" s="653" t="s">
        <v>855</v>
      </c>
      <c r="K497" s="654">
        <v>7</v>
      </c>
      <c r="L497" s="653">
        <f t="shared" si="15"/>
        <v>7</v>
      </c>
    </row>
    <row r="498" ht="18" customHeight="1" spans="1:12">
      <c r="A498" s="688" t="s">
        <v>101</v>
      </c>
      <c r="B498" s="689">
        <v>104</v>
      </c>
      <c r="C498" s="693">
        <v>122</v>
      </c>
      <c r="D498" s="692">
        <v>132</v>
      </c>
      <c r="E498" s="692">
        <v>132</v>
      </c>
      <c r="F498" s="739"/>
      <c r="G498" s="739"/>
      <c r="H498" s="740"/>
      <c r="I498" s="653" t="s">
        <v>857</v>
      </c>
      <c r="J498" s="653" t="s">
        <v>101</v>
      </c>
      <c r="K498" s="654">
        <v>132</v>
      </c>
      <c r="L498" s="653">
        <f t="shared" si="15"/>
        <v>132</v>
      </c>
    </row>
    <row r="499" ht="18" customHeight="1" spans="1:12">
      <c r="A499" s="688" t="s">
        <v>858</v>
      </c>
      <c r="B499" s="689">
        <v>55</v>
      </c>
      <c r="C499" s="693"/>
      <c r="D499" s="692">
        <v>105</v>
      </c>
      <c r="E499" s="692">
        <v>105</v>
      </c>
      <c r="F499" s="739"/>
      <c r="G499" s="739"/>
      <c r="H499" s="740"/>
      <c r="I499" s="653" t="s">
        <v>859</v>
      </c>
      <c r="J499" s="653" t="s">
        <v>858</v>
      </c>
      <c r="K499" s="654">
        <v>105</v>
      </c>
      <c r="L499" s="653">
        <f t="shared" si="15"/>
        <v>105</v>
      </c>
    </row>
    <row r="500" ht="21" customHeight="1" spans="1:8">
      <c r="A500" s="682" t="s">
        <v>860</v>
      </c>
      <c r="B500" s="683">
        <f>B501</f>
        <v>2091</v>
      </c>
      <c r="C500" s="684">
        <f>SUM(C501)</f>
        <v>2052</v>
      </c>
      <c r="D500" s="685">
        <f>SUM(D501:D502)</f>
        <v>2576</v>
      </c>
      <c r="E500" s="685">
        <f>SUM(E501:E502)</f>
        <v>2576</v>
      </c>
      <c r="F500" s="739"/>
      <c r="G500" s="739"/>
      <c r="H500" s="740"/>
    </row>
    <row r="501" spans="1:12">
      <c r="A501" s="688" t="s">
        <v>861</v>
      </c>
      <c r="B501" s="689">
        <v>2091</v>
      </c>
      <c r="C501" s="693">
        <v>2052</v>
      </c>
      <c r="D501" s="692">
        <v>2565</v>
      </c>
      <c r="E501" s="692">
        <v>2565</v>
      </c>
      <c r="F501" s="739"/>
      <c r="G501" s="739"/>
      <c r="H501" s="740"/>
      <c r="I501" s="653" t="s">
        <v>862</v>
      </c>
      <c r="J501" s="653" t="s">
        <v>861</v>
      </c>
      <c r="K501" s="654">
        <v>2565</v>
      </c>
      <c r="L501" s="653">
        <f>ROUND(K501,0)</f>
        <v>2565</v>
      </c>
    </row>
    <row r="502" ht="21" customHeight="1" spans="1:12">
      <c r="A502" s="688" t="s">
        <v>863</v>
      </c>
      <c r="B502" s="689"/>
      <c r="C502" s="693"/>
      <c r="D502" s="692">
        <v>11</v>
      </c>
      <c r="E502" s="692">
        <v>11</v>
      </c>
      <c r="F502" s="739"/>
      <c r="G502" s="739"/>
      <c r="H502" s="740"/>
      <c r="I502" s="653" t="s">
        <v>864</v>
      </c>
      <c r="J502" s="653" t="s">
        <v>863</v>
      </c>
      <c r="K502" s="654">
        <v>11</v>
      </c>
      <c r="L502" s="653">
        <f>ROUND(K502,0)</f>
        <v>11</v>
      </c>
    </row>
    <row r="503" spans="1:8">
      <c r="A503" s="682" t="s">
        <v>865</v>
      </c>
      <c r="B503" s="683">
        <f>SUM(B504:B504)</f>
        <v>15</v>
      </c>
      <c r="C503" s="684">
        <f>SUM(C504:C504)</f>
        <v>0</v>
      </c>
      <c r="D503" s="685">
        <f>SUM(D504:D504)</f>
        <v>7</v>
      </c>
      <c r="E503" s="685">
        <f>E504</f>
        <v>7</v>
      </c>
      <c r="F503" s="739"/>
      <c r="G503" s="739"/>
      <c r="H503" s="740"/>
    </row>
    <row r="504" spans="1:12">
      <c r="A504" s="688" t="s">
        <v>866</v>
      </c>
      <c r="B504" s="689">
        <v>15</v>
      </c>
      <c r="C504" s="703"/>
      <c r="D504" s="692">
        <v>7</v>
      </c>
      <c r="E504" s="692">
        <v>7</v>
      </c>
      <c r="F504" s="739"/>
      <c r="G504" s="739"/>
      <c r="H504" s="740"/>
      <c r="I504" s="653" t="s">
        <v>867</v>
      </c>
      <c r="J504" s="653" t="s">
        <v>866</v>
      </c>
      <c r="K504" s="654">
        <v>7</v>
      </c>
      <c r="L504" s="653">
        <f>ROUND(K504,0)</f>
        <v>7</v>
      </c>
    </row>
    <row r="505" spans="1:8">
      <c r="A505" s="682" t="s">
        <v>868</v>
      </c>
      <c r="B505" s="683">
        <f>SUM(B507:B508)</f>
        <v>131</v>
      </c>
      <c r="C505" s="683">
        <f>SUM(C507:C508)</f>
        <v>145</v>
      </c>
      <c r="D505" s="685">
        <f>SUM(D506:D508)</f>
        <v>404</v>
      </c>
      <c r="E505" s="685">
        <f>SUM(E506:E508)</f>
        <v>404</v>
      </c>
      <c r="F505" s="739"/>
      <c r="G505" s="739"/>
      <c r="H505" s="740"/>
    </row>
    <row r="506" spans="1:12">
      <c r="A506" s="688" t="s">
        <v>869</v>
      </c>
      <c r="B506" s="683"/>
      <c r="C506" s="683"/>
      <c r="D506" s="692">
        <v>120</v>
      </c>
      <c r="E506" s="692">
        <v>120</v>
      </c>
      <c r="F506" s="739"/>
      <c r="G506" s="739"/>
      <c r="H506" s="740"/>
      <c r="I506" s="653" t="s">
        <v>870</v>
      </c>
      <c r="J506" s="653" t="s">
        <v>869</v>
      </c>
      <c r="K506" s="654">
        <v>120</v>
      </c>
      <c r="L506" s="653">
        <f>ROUND(K506,0)</f>
        <v>120</v>
      </c>
    </row>
    <row r="507" spans="1:12">
      <c r="A507" s="688" t="s">
        <v>871</v>
      </c>
      <c r="B507" s="689">
        <v>103</v>
      </c>
      <c r="C507" s="703">
        <v>145</v>
      </c>
      <c r="D507" s="692">
        <v>207</v>
      </c>
      <c r="E507" s="692">
        <v>207</v>
      </c>
      <c r="F507" s="739"/>
      <c r="G507" s="739"/>
      <c r="H507" s="740"/>
      <c r="I507" s="653" t="s">
        <v>872</v>
      </c>
      <c r="J507" s="653" t="s">
        <v>871</v>
      </c>
      <c r="K507" s="654">
        <v>207</v>
      </c>
      <c r="L507" s="653">
        <f>ROUND(K507,0)</f>
        <v>207</v>
      </c>
    </row>
    <row r="508" spans="1:12">
      <c r="A508" s="688" t="s">
        <v>873</v>
      </c>
      <c r="B508" s="689">
        <v>28</v>
      </c>
      <c r="C508" s="703"/>
      <c r="D508" s="692">
        <v>77</v>
      </c>
      <c r="E508" s="692">
        <v>77</v>
      </c>
      <c r="F508" s="739"/>
      <c r="G508" s="739"/>
      <c r="H508" s="740"/>
      <c r="I508" s="653" t="s">
        <v>874</v>
      </c>
      <c r="J508" s="653" t="s">
        <v>873</v>
      </c>
      <c r="K508" s="654">
        <v>77</v>
      </c>
      <c r="L508" s="653">
        <f>ROUND(K508,0)</f>
        <v>77</v>
      </c>
    </row>
    <row r="509" spans="1:8">
      <c r="A509" s="682" t="s">
        <v>875</v>
      </c>
      <c r="B509" s="729"/>
      <c r="C509" s="684"/>
      <c r="D509" s="685">
        <f>SUM(D510:D511)</f>
        <v>2818</v>
      </c>
      <c r="E509" s="685">
        <f>SUM(E510:E511)</f>
        <v>2818</v>
      </c>
      <c r="F509" s="739"/>
      <c r="G509" s="739"/>
      <c r="H509" s="740"/>
    </row>
    <row r="510" spans="1:12">
      <c r="A510" s="688" t="s">
        <v>876</v>
      </c>
      <c r="B510" s="689"/>
      <c r="C510" s="703"/>
      <c r="D510" s="692">
        <v>1448</v>
      </c>
      <c r="E510" s="692">
        <v>1448</v>
      </c>
      <c r="F510" s="739"/>
      <c r="G510" s="739"/>
      <c r="H510" s="740"/>
      <c r="I510" s="653" t="s">
        <v>877</v>
      </c>
      <c r="J510" s="653" t="s">
        <v>878</v>
      </c>
      <c r="K510" s="654">
        <v>0</v>
      </c>
      <c r="L510" s="653">
        <f t="shared" ref="L510:L528" si="16">ROUND(K510,0)</f>
        <v>0</v>
      </c>
    </row>
    <row r="511" spans="1:12">
      <c r="A511" s="695" t="s">
        <v>879</v>
      </c>
      <c r="B511" s="689"/>
      <c r="C511" s="703"/>
      <c r="D511" s="692">
        <v>1370</v>
      </c>
      <c r="E511" s="692">
        <v>1370</v>
      </c>
      <c r="F511" s="739"/>
      <c r="G511" s="739"/>
      <c r="H511" s="740"/>
      <c r="I511" s="653" t="s">
        <v>880</v>
      </c>
      <c r="J511" s="653" t="s">
        <v>876</v>
      </c>
      <c r="K511" s="654">
        <v>1448</v>
      </c>
      <c r="L511" s="653">
        <f t="shared" si="16"/>
        <v>1448</v>
      </c>
    </row>
    <row r="512" spans="1:12">
      <c r="A512" s="676" t="s">
        <v>881</v>
      </c>
      <c r="B512" s="677">
        <v>0</v>
      </c>
      <c r="C512" s="678">
        <v>15000</v>
      </c>
      <c r="D512" s="679">
        <v>0</v>
      </c>
      <c r="E512" s="679">
        <v>0</v>
      </c>
      <c r="F512" s="704"/>
      <c r="G512" s="704"/>
      <c r="H512" s="740"/>
      <c r="I512" s="697" t="s">
        <v>882</v>
      </c>
      <c r="J512" s="697" t="s">
        <v>879</v>
      </c>
      <c r="K512" s="698">
        <v>1370</v>
      </c>
      <c r="L512" s="697">
        <f t="shared" si="16"/>
        <v>1370</v>
      </c>
    </row>
    <row r="513" ht="96" customHeight="1" spans="1:12">
      <c r="A513" s="676" t="s">
        <v>883</v>
      </c>
      <c r="B513" s="677">
        <f>SUM(B514:B515)</f>
        <v>7829</v>
      </c>
      <c r="C513" s="678">
        <f>SUM(C514:C515)</f>
        <v>53310</v>
      </c>
      <c r="D513" s="679">
        <f>SUM(D514:D515)</f>
        <v>43954</v>
      </c>
      <c r="E513" s="679">
        <f>SUM(E514:E515)</f>
        <v>43954</v>
      </c>
      <c r="F513" s="704">
        <f>E513/D513*100</f>
        <v>100</v>
      </c>
      <c r="G513" s="704">
        <f>(E513/B513-1)*100</f>
        <v>461.425469408609</v>
      </c>
      <c r="H513" s="742" t="s">
        <v>884</v>
      </c>
      <c r="I513" s="697" t="s">
        <v>885</v>
      </c>
      <c r="J513" s="697" t="s">
        <v>886</v>
      </c>
      <c r="K513" s="698">
        <v>0</v>
      </c>
      <c r="L513" s="697">
        <f t="shared" si="16"/>
        <v>0</v>
      </c>
    </row>
    <row r="514" ht="20.1" customHeight="1" spans="1:12">
      <c r="A514" s="682" t="s">
        <v>887</v>
      </c>
      <c r="B514" s="677"/>
      <c r="C514" s="684">
        <v>16859</v>
      </c>
      <c r="D514" s="679"/>
      <c r="E514" s="679"/>
      <c r="F514" s="704"/>
      <c r="G514" s="704"/>
      <c r="H514" s="741"/>
      <c r="I514" s="653" t="s">
        <v>888</v>
      </c>
      <c r="J514" s="653" t="s">
        <v>889</v>
      </c>
      <c r="K514" s="654">
        <v>41103</v>
      </c>
      <c r="L514" s="653">
        <f t="shared" si="16"/>
        <v>41103</v>
      </c>
    </row>
    <row r="515" ht="20.1" customHeight="1" spans="1:12">
      <c r="A515" s="682" t="s">
        <v>890</v>
      </c>
      <c r="B515" s="683">
        <v>7829</v>
      </c>
      <c r="C515" s="684">
        <v>36451</v>
      </c>
      <c r="D515" s="685">
        <v>43954</v>
      </c>
      <c r="E515" s="685">
        <v>43954</v>
      </c>
      <c r="F515" s="704"/>
      <c r="G515" s="704"/>
      <c r="H515" s="743"/>
      <c r="I515" s="653" t="s">
        <v>891</v>
      </c>
      <c r="J515" s="653" t="s">
        <v>892</v>
      </c>
      <c r="K515" s="654">
        <v>510</v>
      </c>
      <c r="L515" s="653">
        <f t="shared" si="16"/>
        <v>510</v>
      </c>
    </row>
    <row r="516" ht="25" customHeight="1" spans="1:12">
      <c r="A516" s="676" t="s">
        <v>893</v>
      </c>
      <c r="B516" s="683"/>
      <c r="C516" s="678">
        <f t="shared" ref="C516:E517" si="17">C517</f>
        <v>26457</v>
      </c>
      <c r="D516" s="678">
        <f t="shared" si="17"/>
        <v>26457</v>
      </c>
      <c r="E516" s="678">
        <f t="shared" si="17"/>
        <v>26457</v>
      </c>
      <c r="F516" s="704">
        <f>E516/D516*100</f>
        <v>100</v>
      </c>
      <c r="G516" s="704"/>
      <c r="H516" s="743"/>
      <c r="I516" s="697" t="s">
        <v>894</v>
      </c>
      <c r="J516" s="697" t="s">
        <v>895</v>
      </c>
      <c r="K516" s="698">
        <v>26457</v>
      </c>
      <c r="L516" s="697">
        <f t="shared" si="16"/>
        <v>26457</v>
      </c>
    </row>
    <row r="517" ht="25" customHeight="1" spans="1:12">
      <c r="A517" s="682" t="s">
        <v>896</v>
      </c>
      <c r="B517" s="683"/>
      <c r="C517" s="684">
        <f t="shared" si="17"/>
        <v>26457</v>
      </c>
      <c r="D517" s="684">
        <f t="shared" si="17"/>
        <v>26457</v>
      </c>
      <c r="E517" s="684">
        <f t="shared" si="17"/>
        <v>26457</v>
      </c>
      <c r="F517" s="704"/>
      <c r="G517" s="704"/>
      <c r="H517" s="743"/>
      <c r="I517" s="653" t="s">
        <v>897</v>
      </c>
      <c r="J517" s="653" t="s">
        <v>898</v>
      </c>
      <c r="K517" s="654">
        <v>32377</v>
      </c>
      <c r="L517" s="653">
        <f t="shared" si="16"/>
        <v>32377</v>
      </c>
    </row>
    <row r="518" ht="25" customHeight="1" spans="1:12">
      <c r="A518" s="688" t="s">
        <v>895</v>
      </c>
      <c r="B518" s="683"/>
      <c r="C518" s="703">
        <v>26457</v>
      </c>
      <c r="D518" s="692">
        <v>26457</v>
      </c>
      <c r="E518" s="692">
        <v>26457</v>
      </c>
      <c r="F518" s="704"/>
      <c r="G518" s="704"/>
      <c r="H518" s="743"/>
      <c r="I518" s="653" t="s">
        <v>899</v>
      </c>
      <c r="J518" s="653" t="s">
        <v>900</v>
      </c>
      <c r="K518" s="654">
        <v>165</v>
      </c>
      <c r="L518" s="653">
        <f t="shared" si="16"/>
        <v>165</v>
      </c>
    </row>
    <row r="519" ht="25" customHeight="1" spans="1:12">
      <c r="A519" s="676" t="s">
        <v>901</v>
      </c>
      <c r="B519" s="677">
        <f t="shared" ref="B519:B522" si="18">B520</f>
        <v>30612</v>
      </c>
      <c r="C519" s="678">
        <f>C520</f>
        <v>31298</v>
      </c>
      <c r="D519" s="679">
        <f>D520</f>
        <v>32377</v>
      </c>
      <c r="E519" s="679">
        <f>E520</f>
        <v>32377</v>
      </c>
      <c r="F519" s="704">
        <f>E519/D519*100</f>
        <v>100</v>
      </c>
      <c r="G519" s="704">
        <f>(E519/B519-1)*100</f>
        <v>5.76571279236902</v>
      </c>
      <c r="H519" s="740"/>
      <c r="I519" s="697"/>
      <c r="J519" s="697"/>
      <c r="K519" s="698"/>
      <c r="L519" s="697">
        <f t="shared" si="16"/>
        <v>0</v>
      </c>
    </row>
    <row r="520" ht="25" customHeight="1" spans="1:12">
      <c r="A520" s="682" t="s">
        <v>902</v>
      </c>
      <c r="B520" s="683">
        <f t="shared" si="18"/>
        <v>30612</v>
      </c>
      <c r="C520" s="684">
        <f>SUM(C521:C521)</f>
        <v>31298</v>
      </c>
      <c r="D520" s="685">
        <f>SUM(D521:D521)</f>
        <v>32377</v>
      </c>
      <c r="E520" s="685">
        <f>SUM(E521:E521)</f>
        <v>32377</v>
      </c>
      <c r="F520" s="704"/>
      <c r="G520" s="704"/>
      <c r="H520" s="743"/>
      <c r="L520" s="653">
        <f t="shared" si="16"/>
        <v>0</v>
      </c>
    </row>
    <row r="521" ht="25" customHeight="1" spans="1:12">
      <c r="A521" s="688" t="s">
        <v>898</v>
      </c>
      <c r="B521" s="696">
        <v>30612</v>
      </c>
      <c r="C521" s="703">
        <v>31298</v>
      </c>
      <c r="D521" s="692">
        <v>32377</v>
      </c>
      <c r="E521" s="692">
        <v>32377</v>
      </c>
      <c r="F521" s="739"/>
      <c r="G521" s="739"/>
      <c r="H521" s="740"/>
      <c r="L521" s="653">
        <f t="shared" si="16"/>
        <v>0</v>
      </c>
    </row>
    <row r="522" ht="25" customHeight="1" spans="1:12">
      <c r="A522" s="676" t="s">
        <v>903</v>
      </c>
      <c r="B522" s="725">
        <f t="shared" si="18"/>
        <v>142</v>
      </c>
      <c r="C522" s="678">
        <f>C523</f>
        <v>165</v>
      </c>
      <c r="D522" s="679">
        <f>D523</f>
        <v>165</v>
      </c>
      <c r="E522" s="679">
        <f>E523</f>
        <v>165</v>
      </c>
      <c r="F522" s="704">
        <f>E522/D522*100</f>
        <v>100</v>
      </c>
      <c r="G522" s="704">
        <f>(E522/B522-1)*100</f>
        <v>16.1971830985916</v>
      </c>
      <c r="H522" s="740"/>
      <c r="I522" s="697"/>
      <c r="J522" s="697"/>
      <c r="K522" s="698"/>
      <c r="L522" s="697">
        <f t="shared" si="16"/>
        <v>0</v>
      </c>
    </row>
    <row r="523" ht="25" customHeight="1" spans="1:12">
      <c r="A523" s="682" t="s">
        <v>904</v>
      </c>
      <c r="B523" s="683">
        <v>142</v>
      </c>
      <c r="C523" s="684">
        <v>165</v>
      </c>
      <c r="D523" s="685">
        <v>165</v>
      </c>
      <c r="E523" s="685">
        <v>165</v>
      </c>
      <c r="F523" s="704"/>
      <c r="G523" s="704"/>
      <c r="H523" s="744"/>
      <c r="L523" s="653">
        <f t="shared" si="16"/>
        <v>0</v>
      </c>
    </row>
    <row r="524" ht="25" customHeight="1" spans="1:12">
      <c r="A524" s="745" t="s">
        <v>905</v>
      </c>
      <c r="B524" s="677">
        <f>SUM(B6,B112,B117,B146,B173,B191,B225,B302,B343,B359,B374,B436,B443,B449,B457,B460,B479,B485,B491,B512,B513,B519,B522)</f>
        <v>782705</v>
      </c>
      <c r="C524" s="678">
        <f>SUM(C6,C112,C117,C146,C173,C191,C225,C302,C343,C359,C374,C436,C443,C449,C457,C460,C479,C485,C491,C512,C513,C519,C522,C516)</f>
        <v>929700</v>
      </c>
      <c r="D524" s="679">
        <f>SUM(D6,D112,D117,D146,D173,D191,D225,D302,D343,D359,D374,D436,D443,D449,D457,D460,D479,D485,D491,D512,D513,D519,D522,D516)</f>
        <v>964526</v>
      </c>
      <c r="E524" s="679">
        <f>SUM(E6,E112,E117,E146,E173,E191,E225,E302,E343,E359,E374,E436,E443,E449,E457,E460,E479,E485,E491,E512,E513,E519,E522,E516)</f>
        <v>964526</v>
      </c>
      <c r="F524" s="704">
        <f>E524/D524*100</f>
        <v>100</v>
      </c>
      <c r="G524" s="704">
        <f>(E524/B524-1)*100</f>
        <v>23.2298247743403</v>
      </c>
      <c r="H524" s="740"/>
      <c r="L524" s="653">
        <f t="shared" si="16"/>
        <v>0</v>
      </c>
    </row>
    <row r="525" spans="12:12">
      <c r="L525" s="653">
        <f t="shared" si="16"/>
        <v>0</v>
      </c>
    </row>
    <row r="526" spans="12:12">
      <c r="L526" s="653">
        <f t="shared" si="16"/>
        <v>0</v>
      </c>
    </row>
    <row r="527" spans="12:12">
      <c r="L527" s="653">
        <f t="shared" si="16"/>
        <v>0</v>
      </c>
    </row>
    <row r="528" spans="12:12">
      <c r="L528" s="653">
        <f t="shared" si="16"/>
        <v>0</v>
      </c>
    </row>
    <row r="529" spans="12:12">
      <c r="L529" s="653">
        <f t="shared" ref="L529:L592" si="19">ROUND(K529,0)</f>
        <v>0</v>
      </c>
    </row>
    <row r="530" spans="12:12">
      <c r="L530" s="653">
        <f t="shared" si="19"/>
        <v>0</v>
      </c>
    </row>
    <row r="531" spans="12:12">
      <c r="L531" s="653">
        <f t="shared" si="19"/>
        <v>0</v>
      </c>
    </row>
    <row r="532" spans="12:12">
      <c r="L532" s="653">
        <f t="shared" si="19"/>
        <v>0</v>
      </c>
    </row>
    <row r="533" spans="12:12">
      <c r="L533" s="653">
        <f t="shared" si="19"/>
        <v>0</v>
      </c>
    </row>
    <row r="534" spans="12:12">
      <c r="L534" s="653">
        <f t="shared" si="19"/>
        <v>0</v>
      </c>
    </row>
    <row r="535" spans="12:12">
      <c r="L535" s="653">
        <f t="shared" si="19"/>
        <v>0</v>
      </c>
    </row>
    <row r="536" spans="12:12">
      <c r="L536" s="653">
        <f t="shared" si="19"/>
        <v>0</v>
      </c>
    </row>
    <row r="537" spans="12:12">
      <c r="L537" s="653">
        <f t="shared" si="19"/>
        <v>0</v>
      </c>
    </row>
    <row r="538" spans="12:12">
      <c r="L538" s="653">
        <f t="shared" si="19"/>
        <v>0</v>
      </c>
    </row>
    <row r="539" spans="12:12">
      <c r="L539" s="653">
        <f t="shared" si="19"/>
        <v>0</v>
      </c>
    </row>
    <row r="540" spans="12:12">
      <c r="L540" s="653">
        <f t="shared" si="19"/>
        <v>0</v>
      </c>
    </row>
    <row r="541" spans="12:12">
      <c r="L541" s="653">
        <f t="shared" si="19"/>
        <v>0</v>
      </c>
    </row>
    <row r="542" spans="12:12">
      <c r="L542" s="653">
        <f t="shared" si="19"/>
        <v>0</v>
      </c>
    </row>
    <row r="543" spans="12:12">
      <c r="L543" s="653">
        <f t="shared" si="19"/>
        <v>0</v>
      </c>
    </row>
    <row r="544" spans="12:12">
      <c r="L544" s="653">
        <f t="shared" si="19"/>
        <v>0</v>
      </c>
    </row>
    <row r="545" spans="12:12">
      <c r="L545" s="653">
        <f t="shared" si="19"/>
        <v>0</v>
      </c>
    </row>
    <row r="546" spans="12:12">
      <c r="L546" s="653">
        <f t="shared" si="19"/>
        <v>0</v>
      </c>
    </row>
    <row r="547" spans="12:12">
      <c r="L547" s="653">
        <f t="shared" si="19"/>
        <v>0</v>
      </c>
    </row>
    <row r="548" spans="12:12">
      <c r="L548" s="653">
        <f t="shared" si="19"/>
        <v>0</v>
      </c>
    </row>
    <row r="549" spans="12:12">
      <c r="L549" s="653">
        <f t="shared" si="19"/>
        <v>0</v>
      </c>
    </row>
    <row r="550" spans="12:12">
      <c r="L550" s="653">
        <f t="shared" si="19"/>
        <v>0</v>
      </c>
    </row>
    <row r="551" spans="12:12">
      <c r="L551" s="653">
        <f t="shared" si="19"/>
        <v>0</v>
      </c>
    </row>
    <row r="552" spans="12:12">
      <c r="L552" s="653">
        <f t="shared" si="19"/>
        <v>0</v>
      </c>
    </row>
    <row r="553" spans="12:12">
      <c r="L553" s="653">
        <f t="shared" si="19"/>
        <v>0</v>
      </c>
    </row>
    <row r="554" spans="12:12">
      <c r="L554" s="653">
        <f t="shared" si="19"/>
        <v>0</v>
      </c>
    </row>
    <row r="555" spans="12:12">
      <c r="L555" s="653">
        <f t="shared" si="19"/>
        <v>0</v>
      </c>
    </row>
    <row r="556" spans="12:12">
      <c r="L556" s="653">
        <f t="shared" si="19"/>
        <v>0</v>
      </c>
    </row>
    <row r="557" spans="12:12">
      <c r="L557" s="653">
        <f t="shared" si="19"/>
        <v>0</v>
      </c>
    </row>
    <row r="558" spans="12:12">
      <c r="L558" s="653">
        <f t="shared" si="19"/>
        <v>0</v>
      </c>
    </row>
    <row r="559" spans="12:12">
      <c r="L559" s="653">
        <f t="shared" si="19"/>
        <v>0</v>
      </c>
    </row>
    <row r="560" spans="12:12">
      <c r="L560" s="653">
        <f t="shared" si="19"/>
        <v>0</v>
      </c>
    </row>
    <row r="561" spans="12:12">
      <c r="L561" s="653">
        <f t="shared" si="19"/>
        <v>0</v>
      </c>
    </row>
    <row r="562" spans="12:12">
      <c r="L562" s="653">
        <f t="shared" si="19"/>
        <v>0</v>
      </c>
    </row>
    <row r="563" spans="12:12">
      <c r="L563" s="653">
        <f t="shared" si="19"/>
        <v>0</v>
      </c>
    </row>
    <row r="564" spans="12:12">
      <c r="L564" s="653">
        <f t="shared" si="19"/>
        <v>0</v>
      </c>
    </row>
    <row r="565" spans="9:12">
      <c r="I565" s="645"/>
      <c r="J565" s="645"/>
      <c r="K565" s="707"/>
      <c r="L565" s="653">
        <f t="shared" si="19"/>
        <v>0</v>
      </c>
    </row>
    <row r="566" spans="12:12">
      <c r="L566" s="653">
        <f t="shared" si="19"/>
        <v>0</v>
      </c>
    </row>
    <row r="567" spans="12:12">
      <c r="L567" s="653">
        <f t="shared" si="19"/>
        <v>0</v>
      </c>
    </row>
    <row r="568" spans="12:12">
      <c r="L568" s="653">
        <f t="shared" si="19"/>
        <v>0</v>
      </c>
    </row>
    <row r="569" spans="12:12">
      <c r="L569" s="653">
        <f t="shared" si="19"/>
        <v>0</v>
      </c>
    </row>
    <row r="570" spans="12:12">
      <c r="L570" s="653">
        <f t="shared" si="19"/>
        <v>0</v>
      </c>
    </row>
    <row r="571" spans="12:12">
      <c r="L571" s="653">
        <f t="shared" si="19"/>
        <v>0</v>
      </c>
    </row>
    <row r="572" spans="12:12">
      <c r="L572" s="653">
        <f t="shared" si="19"/>
        <v>0</v>
      </c>
    </row>
    <row r="573" spans="12:12">
      <c r="L573" s="653">
        <f t="shared" si="19"/>
        <v>0</v>
      </c>
    </row>
    <row r="574" spans="12:12">
      <c r="L574" s="653">
        <f t="shared" si="19"/>
        <v>0</v>
      </c>
    </row>
    <row r="575" spans="12:12">
      <c r="L575" s="653">
        <f t="shared" si="19"/>
        <v>0</v>
      </c>
    </row>
    <row r="576" spans="12:12">
      <c r="L576" s="653">
        <f t="shared" si="19"/>
        <v>0</v>
      </c>
    </row>
    <row r="577" spans="12:12">
      <c r="L577" s="653">
        <f t="shared" si="19"/>
        <v>0</v>
      </c>
    </row>
    <row r="578" spans="12:12">
      <c r="L578" s="653">
        <f t="shared" si="19"/>
        <v>0</v>
      </c>
    </row>
    <row r="579" spans="12:12">
      <c r="L579" s="653">
        <f t="shared" si="19"/>
        <v>0</v>
      </c>
    </row>
    <row r="580" spans="12:12">
      <c r="L580" s="653">
        <f t="shared" si="19"/>
        <v>0</v>
      </c>
    </row>
    <row r="581" spans="12:12">
      <c r="L581" s="653">
        <f t="shared" si="19"/>
        <v>0</v>
      </c>
    </row>
    <row r="582" spans="12:12">
      <c r="L582" s="653">
        <f t="shared" si="19"/>
        <v>0</v>
      </c>
    </row>
    <row r="583" spans="12:12">
      <c r="L583" s="653">
        <f t="shared" si="19"/>
        <v>0</v>
      </c>
    </row>
    <row r="584" spans="12:12">
      <c r="L584" s="653">
        <f t="shared" si="19"/>
        <v>0</v>
      </c>
    </row>
    <row r="585" spans="12:12">
      <c r="L585" s="653">
        <f t="shared" si="19"/>
        <v>0</v>
      </c>
    </row>
    <row r="586" spans="12:12">
      <c r="L586" s="653">
        <f t="shared" si="19"/>
        <v>0</v>
      </c>
    </row>
    <row r="587" spans="12:12">
      <c r="L587" s="653">
        <f t="shared" si="19"/>
        <v>0</v>
      </c>
    </row>
    <row r="588" spans="12:12">
      <c r="L588" s="653">
        <f t="shared" si="19"/>
        <v>0</v>
      </c>
    </row>
    <row r="589" spans="12:12">
      <c r="L589" s="653">
        <f t="shared" si="19"/>
        <v>0</v>
      </c>
    </row>
    <row r="590" spans="12:12">
      <c r="L590" s="653">
        <f t="shared" si="19"/>
        <v>0</v>
      </c>
    </row>
    <row r="591" spans="12:12">
      <c r="L591" s="653">
        <f t="shared" si="19"/>
        <v>0</v>
      </c>
    </row>
    <row r="592" spans="12:12">
      <c r="L592" s="653">
        <f t="shared" si="19"/>
        <v>0</v>
      </c>
    </row>
    <row r="593" spans="12:12">
      <c r="L593" s="653">
        <f t="shared" ref="L593:L656" si="20">ROUND(K593,0)</f>
        <v>0</v>
      </c>
    </row>
    <row r="594" spans="12:12">
      <c r="L594" s="653">
        <f t="shared" si="20"/>
        <v>0</v>
      </c>
    </row>
    <row r="595" spans="12:12">
      <c r="L595" s="653">
        <f t="shared" si="20"/>
        <v>0</v>
      </c>
    </row>
    <row r="596" spans="12:12">
      <c r="L596" s="653">
        <f t="shared" si="20"/>
        <v>0</v>
      </c>
    </row>
    <row r="597" spans="12:12">
      <c r="L597" s="653">
        <f t="shared" si="20"/>
        <v>0</v>
      </c>
    </row>
    <row r="598" spans="12:12">
      <c r="L598" s="653">
        <f t="shared" si="20"/>
        <v>0</v>
      </c>
    </row>
    <row r="599" spans="12:12">
      <c r="L599" s="653">
        <f t="shared" si="20"/>
        <v>0</v>
      </c>
    </row>
    <row r="600" spans="12:12">
      <c r="L600" s="653">
        <f t="shared" si="20"/>
        <v>0</v>
      </c>
    </row>
    <row r="601" spans="12:12">
      <c r="L601" s="653">
        <f t="shared" si="20"/>
        <v>0</v>
      </c>
    </row>
    <row r="602" spans="12:12">
      <c r="L602" s="653">
        <f t="shared" si="20"/>
        <v>0</v>
      </c>
    </row>
    <row r="603" spans="12:12">
      <c r="L603" s="653">
        <f t="shared" si="20"/>
        <v>0</v>
      </c>
    </row>
    <row r="604" spans="12:12">
      <c r="L604" s="653">
        <f t="shared" si="20"/>
        <v>0</v>
      </c>
    </row>
    <row r="605" spans="12:12">
      <c r="L605" s="653">
        <f t="shared" si="20"/>
        <v>0</v>
      </c>
    </row>
    <row r="606" spans="12:12">
      <c r="L606" s="653">
        <f t="shared" si="20"/>
        <v>0</v>
      </c>
    </row>
    <row r="607" spans="12:12">
      <c r="L607" s="653">
        <f t="shared" si="20"/>
        <v>0</v>
      </c>
    </row>
    <row r="608" spans="12:12">
      <c r="L608" s="653">
        <f t="shared" si="20"/>
        <v>0</v>
      </c>
    </row>
    <row r="609" spans="12:12">
      <c r="L609" s="653">
        <f t="shared" si="20"/>
        <v>0</v>
      </c>
    </row>
    <row r="610" spans="12:12">
      <c r="L610" s="653">
        <f t="shared" si="20"/>
        <v>0</v>
      </c>
    </row>
    <row r="611" spans="12:12">
      <c r="L611" s="653">
        <f t="shared" si="20"/>
        <v>0</v>
      </c>
    </row>
    <row r="612" spans="12:12">
      <c r="L612" s="653">
        <f t="shared" si="20"/>
        <v>0</v>
      </c>
    </row>
    <row r="613" spans="12:12">
      <c r="L613" s="653">
        <f t="shared" si="20"/>
        <v>0</v>
      </c>
    </row>
    <row r="614" spans="12:12">
      <c r="L614" s="653">
        <f t="shared" si="20"/>
        <v>0</v>
      </c>
    </row>
    <row r="615" spans="12:12">
      <c r="L615" s="653">
        <f t="shared" si="20"/>
        <v>0</v>
      </c>
    </row>
    <row r="616" spans="12:12">
      <c r="L616" s="653">
        <f t="shared" si="20"/>
        <v>0</v>
      </c>
    </row>
    <row r="617" spans="12:12">
      <c r="L617" s="653">
        <f t="shared" si="20"/>
        <v>0</v>
      </c>
    </row>
    <row r="618" spans="12:12">
      <c r="L618" s="653">
        <f t="shared" si="20"/>
        <v>0</v>
      </c>
    </row>
    <row r="619" spans="12:12">
      <c r="L619" s="653">
        <f t="shared" si="20"/>
        <v>0</v>
      </c>
    </row>
    <row r="620" spans="12:12">
      <c r="L620" s="653">
        <f t="shared" si="20"/>
        <v>0</v>
      </c>
    </row>
    <row r="621" spans="12:12">
      <c r="L621" s="653">
        <f t="shared" si="20"/>
        <v>0</v>
      </c>
    </row>
    <row r="622" spans="12:12">
      <c r="L622" s="653">
        <f t="shared" si="20"/>
        <v>0</v>
      </c>
    </row>
    <row r="623" spans="12:12">
      <c r="L623" s="653">
        <f t="shared" si="20"/>
        <v>0</v>
      </c>
    </row>
    <row r="624" spans="12:12">
      <c r="L624" s="653">
        <f t="shared" si="20"/>
        <v>0</v>
      </c>
    </row>
    <row r="625" spans="12:12">
      <c r="L625" s="653">
        <f t="shared" si="20"/>
        <v>0</v>
      </c>
    </row>
    <row r="626" spans="12:12">
      <c r="L626" s="653">
        <f t="shared" si="20"/>
        <v>0</v>
      </c>
    </row>
    <row r="627" spans="12:12">
      <c r="L627" s="653">
        <f t="shared" si="20"/>
        <v>0</v>
      </c>
    </row>
    <row r="628" spans="12:12">
      <c r="L628" s="653">
        <f t="shared" si="20"/>
        <v>0</v>
      </c>
    </row>
    <row r="629" spans="12:12">
      <c r="L629" s="653">
        <f t="shared" si="20"/>
        <v>0</v>
      </c>
    </row>
    <row r="630" spans="12:12">
      <c r="L630" s="653">
        <f t="shared" si="20"/>
        <v>0</v>
      </c>
    </row>
    <row r="631" spans="12:12">
      <c r="L631" s="653">
        <f t="shared" si="20"/>
        <v>0</v>
      </c>
    </row>
    <row r="632" spans="12:12">
      <c r="L632" s="653">
        <f t="shared" si="20"/>
        <v>0</v>
      </c>
    </row>
    <row r="633" spans="12:12">
      <c r="L633" s="653">
        <f t="shared" si="20"/>
        <v>0</v>
      </c>
    </row>
    <row r="634" spans="12:12">
      <c r="L634" s="653">
        <f t="shared" si="20"/>
        <v>0</v>
      </c>
    </row>
    <row r="635" spans="12:12">
      <c r="L635" s="653">
        <f t="shared" si="20"/>
        <v>0</v>
      </c>
    </row>
    <row r="636" spans="12:12">
      <c r="L636" s="653">
        <f t="shared" si="20"/>
        <v>0</v>
      </c>
    </row>
    <row r="637" spans="12:12">
      <c r="L637" s="653">
        <f t="shared" si="20"/>
        <v>0</v>
      </c>
    </row>
    <row r="638" spans="12:12">
      <c r="L638" s="653">
        <f t="shared" si="20"/>
        <v>0</v>
      </c>
    </row>
    <row r="639" spans="12:12">
      <c r="L639" s="653">
        <f t="shared" si="20"/>
        <v>0</v>
      </c>
    </row>
    <row r="640" spans="12:12">
      <c r="L640" s="653">
        <f t="shared" si="20"/>
        <v>0</v>
      </c>
    </row>
    <row r="641" spans="12:12">
      <c r="L641" s="653">
        <f t="shared" si="20"/>
        <v>0</v>
      </c>
    </row>
    <row r="642" spans="12:12">
      <c r="L642" s="653">
        <f t="shared" si="20"/>
        <v>0</v>
      </c>
    </row>
    <row r="643" spans="12:12">
      <c r="L643" s="653">
        <f t="shared" si="20"/>
        <v>0</v>
      </c>
    </row>
    <row r="644" spans="12:12">
      <c r="L644" s="653">
        <f t="shared" si="20"/>
        <v>0</v>
      </c>
    </row>
    <row r="645" spans="12:12">
      <c r="L645" s="653">
        <f t="shared" si="20"/>
        <v>0</v>
      </c>
    </row>
    <row r="646" spans="12:12">
      <c r="L646" s="653">
        <f t="shared" si="20"/>
        <v>0</v>
      </c>
    </row>
    <row r="647" spans="12:12">
      <c r="L647" s="653">
        <f t="shared" si="20"/>
        <v>0</v>
      </c>
    </row>
    <row r="648" spans="12:12">
      <c r="L648" s="653">
        <f t="shared" si="20"/>
        <v>0</v>
      </c>
    </row>
    <row r="649" spans="12:12">
      <c r="L649" s="653">
        <f t="shared" si="20"/>
        <v>0</v>
      </c>
    </row>
    <row r="650" spans="12:12">
      <c r="L650" s="653">
        <f t="shared" si="20"/>
        <v>0</v>
      </c>
    </row>
    <row r="651" spans="12:12">
      <c r="L651" s="653">
        <f t="shared" si="20"/>
        <v>0</v>
      </c>
    </row>
    <row r="652" spans="12:12">
      <c r="L652" s="653">
        <f t="shared" si="20"/>
        <v>0</v>
      </c>
    </row>
    <row r="653" spans="12:12">
      <c r="L653" s="653">
        <f t="shared" si="20"/>
        <v>0</v>
      </c>
    </row>
    <row r="654" spans="12:12">
      <c r="L654" s="653">
        <f t="shared" si="20"/>
        <v>0</v>
      </c>
    </row>
    <row r="655" spans="12:12">
      <c r="L655" s="653">
        <f t="shared" si="20"/>
        <v>0</v>
      </c>
    </row>
    <row r="656" spans="12:12">
      <c r="L656" s="653">
        <f t="shared" si="20"/>
        <v>0</v>
      </c>
    </row>
  </sheetData>
  <mergeCells count="6">
    <mergeCell ref="A2:H2"/>
    <mergeCell ref="G3:H3"/>
    <mergeCell ref="C4:G4"/>
    <mergeCell ref="A4:A5"/>
    <mergeCell ref="B4:B5"/>
    <mergeCell ref="H4:H5"/>
  </mergeCells>
  <printOptions horizontalCentered="1"/>
  <pageMargins left="0.393055555555556" right="0.393055555555556" top="0.786805555555556" bottom="0.786805555555556" header="0.511805555555556" footer="0.590277777777778"/>
  <pageSetup paperSize="9" scale="97" firstPageNumber="4" fitToHeight="0" orientation="portrait" useFirstPageNumber="1" horizontalDpi="600"/>
  <headerFooter alignWithMargins="0">
    <oddFooter>&amp;C&amp;P</oddFooter>
  </headerFooter>
  <ignoredErrors>
    <ignoredError sqref="E480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showZeros="0" workbookViewId="0">
      <selection activeCell="A2" sqref="A2:E2"/>
    </sheetView>
  </sheetViews>
  <sheetFormatPr defaultColWidth="9.125" defaultRowHeight="12.5"/>
  <cols>
    <col min="1" max="1" width="27.5" style="297" customWidth="1"/>
    <col min="2" max="2" width="16.125" style="297" customWidth="1"/>
    <col min="3" max="3" width="14.25" style="297" customWidth="1"/>
    <col min="4" max="4" width="14" style="297" customWidth="1"/>
    <col min="5" max="5" width="11.875" style="297" customWidth="1"/>
    <col min="6" max="6" width="9.125" style="297" hidden="1" customWidth="1"/>
    <col min="7" max="7" width="9.125" style="297"/>
    <col min="8" max="8" width="12.875" style="297" customWidth="1"/>
    <col min="9" max="9" width="11.125" style="297"/>
    <col min="10" max="16384" width="9.125" style="297"/>
  </cols>
  <sheetData>
    <row r="1" ht="31.5" customHeight="1" spans="1:5">
      <c r="A1" s="625" t="s">
        <v>906</v>
      </c>
      <c r="B1" s="489"/>
      <c r="C1" s="489"/>
      <c r="D1" s="489"/>
      <c r="E1" s="489"/>
    </row>
    <row r="2" ht="37.5" customHeight="1" spans="1:5">
      <c r="A2" s="467" t="s">
        <v>907</v>
      </c>
      <c r="B2" s="467"/>
      <c r="C2" s="467"/>
      <c r="D2" s="467"/>
      <c r="E2" s="467"/>
    </row>
    <row r="3" ht="27.75" customHeight="1" spans="1:5">
      <c r="A3" s="489"/>
      <c r="B3" s="489"/>
      <c r="C3" s="489"/>
      <c r="D3" s="489"/>
      <c r="E3" s="491" t="s">
        <v>36</v>
      </c>
    </row>
    <row r="4" ht="41.25" customHeight="1" spans="1:5">
      <c r="A4" s="626" t="s">
        <v>908</v>
      </c>
      <c r="B4" s="627" t="s">
        <v>909</v>
      </c>
      <c r="C4" s="628" t="s">
        <v>910</v>
      </c>
      <c r="D4" s="629" t="s">
        <v>911</v>
      </c>
      <c r="E4" s="630" t="s">
        <v>86</v>
      </c>
    </row>
    <row r="5" ht="30" customHeight="1" spans="1:10">
      <c r="A5" s="631" t="s">
        <v>912</v>
      </c>
      <c r="B5" s="632">
        <v>105859</v>
      </c>
      <c r="C5" s="633">
        <v>84307</v>
      </c>
      <c r="D5" s="633">
        <v>84307</v>
      </c>
      <c r="E5" s="634"/>
      <c r="G5" s="297" t="s">
        <v>913</v>
      </c>
      <c r="H5" s="297">
        <v>843071006.140001</v>
      </c>
      <c r="I5" s="297">
        <f>H5/10000</f>
        <v>84307.1006140001</v>
      </c>
      <c r="J5" s="297">
        <f>ROUND(I5,0)</f>
        <v>84307</v>
      </c>
    </row>
    <row r="6" ht="30" customHeight="1" spans="1:10">
      <c r="A6" s="635" t="s">
        <v>914</v>
      </c>
      <c r="B6" s="140">
        <v>83579</v>
      </c>
      <c r="C6" s="140">
        <v>100665</v>
      </c>
      <c r="D6" s="140">
        <v>100665</v>
      </c>
      <c r="E6" s="636"/>
      <c r="F6" s="297">
        <v>240</v>
      </c>
      <c r="G6" s="297" t="s">
        <v>915</v>
      </c>
      <c r="H6" s="297">
        <v>1006645614.91</v>
      </c>
      <c r="I6" s="297">
        <f t="shared" ref="I6:I20" si="0">H6/10000</f>
        <v>100664.561491</v>
      </c>
      <c r="J6" s="297">
        <f t="shared" ref="J6:J20" si="1">ROUND(I6,0)</f>
        <v>100665</v>
      </c>
    </row>
    <row r="7" ht="30" customHeight="1" spans="1:10">
      <c r="A7" s="635" t="s">
        <v>916</v>
      </c>
      <c r="B7" s="140">
        <v>22274</v>
      </c>
      <c r="C7" s="140">
        <v>30621</v>
      </c>
      <c r="D7" s="140">
        <v>30621</v>
      </c>
      <c r="E7" s="636"/>
      <c r="G7" s="297" t="s">
        <v>917</v>
      </c>
      <c r="H7" s="297">
        <v>306213425.1</v>
      </c>
      <c r="I7" s="297">
        <f t="shared" si="0"/>
        <v>30621.34251</v>
      </c>
      <c r="J7" s="297">
        <f t="shared" si="1"/>
        <v>30621</v>
      </c>
    </row>
    <row r="8" ht="30" customHeight="1" spans="1:10">
      <c r="A8" s="635" t="s">
        <v>918</v>
      </c>
      <c r="B8" s="140">
        <v>5</v>
      </c>
      <c r="C8" s="140">
        <v>5</v>
      </c>
      <c r="D8" s="140">
        <v>5</v>
      </c>
      <c r="E8" s="636"/>
      <c r="G8" s="297" t="s">
        <v>919</v>
      </c>
      <c r="H8" s="297">
        <v>50000</v>
      </c>
      <c r="I8" s="297">
        <f t="shared" si="0"/>
        <v>5</v>
      </c>
      <c r="J8" s="297">
        <f t="shared" si="1"/>
        <v>5</v>
      </c>
    </row>
    <row r="9" ht="33.75" customHeight="1" spans="1:10">
      <c r="A9" s="635" t="s">
        <v>920</v>
      </c>
      <c r="B9" s="140">
        <v>425293</v>
      </c>
      <c r="C9" s="140">
        <v>419525</v>
      </c>
      <c r="D9" s="140">
        <v>419525</v>
      </c>
      <c r="E9" s="637"/>
      <c r="G9" s="297" t="s">
        <v>921</v>
      </c>
      <c r="H9" s="297">
        <v>4384356424.62</v>
      </c>
      <c r="I9" s="297">
        <f t="shared" si="0"/>
        <v>438435.642462</v>
      </c>
      <c r="J9" s="297">
        <f t="shared" si="1"/>
        <v>438436</v>
      </c>
    </row>
    <row r="10" ht="30" customHeight="1" spans="1:10">
      <c r="A10" s="635" t="s">
        <v>922</v>
      </c>
      <c r="B10" s="140">
        <v>2406</v>
      </c>
      <c r="C10" s="140">
        <v>12562</v>
      </c>
      <c r="D10" s="140">
        <v>12562</v>
      </c>
      <c r="E10" s="638"/>
      <c r="G10" s="297" t="s">
        <v>923</v>
      </c>
      <c r="H10" s="297">
        <v>125618375.21</v>
      </c>
      <c r="I10" s="297">
        <f t="shared" si="0"/>
        <v>12561.837521</v>
      </c>
      <c r="J10" s="297">
        <f t="shared" si="1"/>
        <v>12562</v>
      </c>
    </row>
    <row r="11" ht="30" customHeight="1" spans="1:10">
      <c r="A11" s="635" t="s">
        <v>924</v>
      </c>
      <c r="B11" s="140">
        <v>82033</v>
      </c>
      <c r="C11" s="140">
        <v>74604</v>
      </c>
      <c r="D11" s="140">
        <v>74604</v>
      </c>
      <c r="E11" s="636"/>
      <c r="G11" s="297" t="s">
        <v>925</v>
      </c>
      <c r="H11" s="297">
        <v>746041173.8</v>
      </c>
      <c r="I11" s="297">
        <f t="shared" si="0"/>
        <v>74604.11738</v>
      </c>
      <c r="J11" s="297">
        <f t="shared" si="1"/>
        <v>74604</v>
      </c>
    </row>
    <row r="12" ht="30" customHeight="1" spans="1:10">
      <c r="A12" s="635" t="s">
        <v>926</v>
      </c>
      <c r="B12" s="140">
        <v>0</v>
      </c>
      <c r="C12" s="140">
        <v>21200</v>
      </c>
      <c r="D12" s="140">
        <v>21200</v>
      </c>
      <c r="E12" s="636"/>
      <c r="G12" s="297" t="s">
        <v>927</v>
      </c>
      <c r="H12" s="297">
        <v>212000000</v>
      </c>
      <c r="I12" s="297">
        <f t="shared" si="0"/>
        <v>21200</v>
      </c>
      <c r="J12" s="297">
        <f t="shared" si="1"/>
        <v>21200</v>
      </c>
    </row>
    <row r="13" ht="30" customHeight="1" spans="1:10">
      <c r="A13" s="635" t="s">
        <v>928</v>
      </c>
      <c r="B13" s="140">
        <v>109218</v>
      </c>
      <c r="C13" s="140">
        <v>75452</v>
      </c>
      <c r="D13" s="140">
        <v>75452</v>
      </c>
      <c r="E13" s="636"/>
      <c r="G13" s="297" t="s">
        <v>929</v>
      </c>
      <c r="H13" s="297">
        <v>1052516888.4</v>
      </c>
      <c r="I13" s="297">
        <f t="shared" si="0"/>
        <v>105251.68884</v>
      </c>
      <c r="J13" s="297">
        <f t="shared" si="1"/>
        <v>105252</v>
      </c>
    </row>
    <row r="14" ht="30" customHeight="1" spans="1:10">
      <c r="A14" s="635" t="s">
        <v>930</v>
      </c>
      <c r="B14" s="140">
        <v>21612</v>
      </c>
      <c r="C14" s="140">
        <v>81586</v>
      </c>
      <c r="D14" s="140">
        <v>81586</v>
      </c>
      <c r="E14" s="636"/>
      <c r="G14" s="297" t="s">
        <v>931</v>
      </c>
      <c r="H14" s="297">
        <v>52682000</v>
      </c>
      <c r="I14" s="297">
        <f t="shared" si="0"/>
        <v>5268.2</v>
      </c>
      <c r="J14" s="297">
        <f t="shared" si="1"/>
        <v>5268</v>
      </c>
    </row>
    <row r="15" ht="30" customHeight="1" spans="1:10">
      <c r="A15" s="635" t="s">
        <v>932</v>
      </c>
      <c r="B15" s="140">
        <v>31463</v>
      </c>
      <c r="C15" s="140">
        <v>32542</v>
      </c>
      <c r="D15" s="140">
        <v>32542</v>
      </c>
      <c r="E15" s="636"/>
      <c r="G15" s="297" t="s">
        <v>933</v>
      </c>
      <c r="H15" s="297">
        <v>325423823</v>
      </c>
      <c r="I15" s="297">
        <f t="shared" si="0"/>
        <v>32542.3823</v>
      </c>
      <c r="J15" s="297">
        <f t="shared" si="1"/>
        <v>32542</v>
      </c>
    </row>
    <row r="16" ht="30" customHeight="1" spans="1:10">
      <c r="A16" s="635" t="s">
        <v>934</v>
      </c>
      <c r="B16" s="140">
        <v>26457</v>
      </c>
      <c r="C16" s="140">
        <v>26457</v>
      </c>
      <c r="D16" s="140">
        <v>26457</v>
      </c>
      <c r="E16" s="636"/>
      <c r="G16" s="297" t="s">
        <v>935</v>
      </c>
      <c r="H16" s="297">
        <v>264570000</v>
      </c>
      <c r="I16" s="297">
        <f t="shared" si="0"/>
        <v>26457</v>
      </c>
      <c r="J16" s="297">
        <f t="shared" si="1"/>
        <v>26457</v>
      </c>
    </row>
    <row r="17" ht="30" customHeight="1" spans="1:10">
      <c r="A17" s="635" t="s">
        <v>936</v>
      </c>
      <c r="B17" s="140">
        <v>15000</v>
      </c>
      <c r="C17" s="140">
        <v>0</v>
      </c>
      <c r="D17" s="140">
        <v>0</v>
      </c>
      <c r="E17" s="638"/>
      <c r="G17" s="297" t="s">
        <v>937</v>
      </c>
      <c r="H17" s="297">
        <v>5100400</v>
      </c>
      <c r="I17" s="297">
        <f t="shared" si="0"/>
        <v>510.04</v>
      </c>
      <c r="J17" s="297">
        <f t="shared" si="1"/>
        <v>510</v>
      </c>
    </row>
    <row r="18" ht="30" customHeight="1" spans="1:10">
      <c r="A18" s="635" t="s">
        <v>938</v>
      </c>
      <c r="B18" s="140">
        <v>4501</v>
      </c>
      <c r="C18" s="140">
        <v>5000</v>
      </c>
      <c r="D18" s="140">
        <v>5000</v>
      </c>
      <c r="E18" s="636"/>
      <c r="G18" s="297" t="s">
        <v>939</v>
      </c>
      <c r="H18" s="297">
        <v>54360802</v>
      </c>
      <c r="I18" s="297">
        <f t="shared" si="0"/>
        <v>5436.0802</v>
      </c>
      <c r="J18" s="297">
        <f t="shared" si="1"/>
        <v>5436</v>
      </c>
    </row>
    <row r="19" ht="30" customHeight="1" spans="1:10">
      <c r="A19" s="639" t="s">
        <v>940</v>
      </c>
      <c r="B19" s="640">
        <f>SUM(B5:B18)</f>
        <v>929700</v>
      </c>
      <c r="C19" s="640">
        <f>SUM(C5:C18)</f>
        <v>964526</v>
      </c>
      <c r="D19" s="640">
        <f>SUM(D5:D18)</f>
        <v>964526</v>
      </c>
      <c r="E19" s="641"/>
      <c r="I19" s="297">
        <f t="shared" si="0"/>
        <v>0</v>
      </c>
      <c r="J19" s="297">
        <f t="shared" si="1"/>
        <v>0</v>
      </c>
    </row>
    <row r="20" ht="30" customHeight="1" spans="9:10">
      <c r="I20" s="297">
        <f t="shared" si="0"/>
        <v>0</v>
      </c>
      <c r="J20" s="297">
        <f t="shared" si="1"/>
        <v>0</v>
      </c>
    </row>
  </sheetData>
  <mergeCells count="1">
    <mergeCell ref="A2:E2"/>
  </mergeCells>
  <printOptions horizontalCentered="1"/>
  <pageMargins left="0.590277777777778" right="0.550694444444444" top="0.786805555555556" bottom="0.786805555555556" header="0.511805555555556" footer="0.590277777777778"/>
  <pageSetup paperSize="9" firstPageNumber="21" orientation="portrait" useFirstPageNumber="1" horizontalDpi="600"/>
  <headerFooter alignWithMargins="0">
    <oddFooter>&amp;C21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53"/>
  <sheetViews>
    <sheetView showZeros="0" workbookViewId="0">
      <selection activeCell="A2" sqref="A2:F2"/>
    </sheetView>
  </sheetViews>
  <sheetFormatPr defaultColWidth="9" defaultRowHeight="12.5"/>
  <cols>
    <col min="1" max="1" width="32.375" style="296" customWidth="1"/>
    <col min="2" max="2" width="12.375" style="296" customWidth="1"/>
    <col min="3" max="3" width="14.375" style="296" hidden="1" customWidth="1"/>
    <col min="4" max="4" width="13.25" style="296" customWidth="1"/>
    <col min="5" max="5" width="14.75" style="354" customWidth="1"/>
    <col min="6" max="6" width="12.875" style="564" customWidth="1"/>
    <col min="7" max="7" width="13.125" style="296" customWidth="1"/>
    <col min="8" max="8" width="9" style="296"/>
    <col min="9" max="9" width="11.125" style="296" customWidth="1"/>
    <col min="10" max="16384" width="9" style="296"/>
  </cols>
  <sheetData>
    <row r="1" ht="12" customHeight="1" spans="1:1">
      <c r="A1" s="565" t="s">
        <v>941</v>
      </c>
    </row>
    <row r="2" ht="26.25" customHeight="1" spans="1:6">
      <c r="A2" s="566" t="s">
        <v>942</v>
      </c>
      <c r="B2" s="566"/>
      <c r="C2" s="566"/>
      <c r="D2" s="566"/>
      <c r="E2" s="566"/>
      <c r="F2" s="566"/>
    </row>
    <row r="3" ht="18" customHeight="1" spans="1:6">
      <c r="A3" s="380"/>
      <c r="B3" s="567" t="s">
        <v>36</v>
      </c>
      <c r="C3" s="567"/>
      <c r="D3" s="567"/>
      <c r="E3" s="567"/>
      <c r="F3" s="567"/>
    </row>
    <row r="4" ht="15" spans="1:6">
      <c r="A4" s="568" t="s">
        <v>37</v>
      </c>
      <c r="B4" s="569" t="s">
        <v>943</v>
      </c>
      <c r="C4" s="319" t="s">
        <v>944</v>
      </c>
      <c r="D4" s="570" t="s">
        <v>945</v>
      </c>
      <c r="E4" s="571" t="s">
        <v>946</v>
      </c>
      <c r="F4" s="572"/>
    </row>
    <row r="5" ht="42.75" customHeight="1" spans="1:6">
      <c r="A5" s="573"/>
      <c r="B5" s="574"/>
      <c r="C5" s="575"/>
      <c r="D5" s="576"/>
      <c r="E5" s="577" t="s">
        <v>87</v>
      </c>
      <c r="F5" s="578" t="s">
        <v>947</v>
      </c>
    </row>
    <row r="6" s="501" customFormat="1" ht="17.1" customHeight="1" spans="1:9">
      <c r="A6" s="579" t="s">
        <v>45</v>
      </c>
      <c r="B6" s="580">
        <f>'[1]表一2023年收入预算（分单位）'!C6</f>
        <v>720000</v>
      </c>
      <c r="C6" s="581">
        <f>'[1]表一2023年收入预算（分单位）'!D6</f>
        <v>491500</v>
      </c>
      <c r="D6" s="582">
        <f>D22+D7</f>
        <v>737000</v>
      </c>
      <c r="E6" s="583">
        <f>SUM(E7,E22)</f>
        <v>781200</v>
      </c>
      <c r="F6" s="584">
        <f t="shared" ref="F6:F20" si="0">(E6/D6-1)*100</f>
        <v>5.99728629579377</v>
      </c>
      <c r="H6" s="501">
        <v>781200</v>
      </c>
      <c r="I6" s="537">
        <f>H6-E6</f>
        <v>0</v>
      </c>
    </row>
    <row r="7" s="501" customFormat="1" ht="17.1" customHeight="1" spans="1:6">
      <c r="A7" s="585" t="s">
        <v>46</v>
      </c>
      <c r="B7" s="586">
        <f>'[1]表一2023年收入预算（分单位）'!C7</f>
        <v>498300</v>
      </c>
      <c r="C7" s="527">
        <f>'[1]表一2023年收入预算（分单位）'!D7</f>
        <v>450500</v>
      </c>
      <c r="D7" s="587">
        <f>SUM(D8:D21)</f>
        <v>508800</v>
      </c>
      <c r="E7" s="588">
        <f>SUM(E8:E20)</f>
        <v>614100</v>
      </c>
      <c r="F7" s="589">
        <f t="shared" si="0"/>
        <v>20.6957547169811</v>
      </c>
    </row>
    <row r="8" ht="17.1" customHeight="1" spans="1:6">
      <c r="A8" s="590" t="s">
        <v>47</v>
      </c>
      <c r="B8" s="591">
        <f>'[1]表一2023年收入预算（分单位）'!C8</f>
        <v>245500</v>
      </c>
      <c r="C8" s="592">
        <f>'[1]表一2023年收入预算（分单位）'!D8</f>
        <v>206000</v>
      </c>
      <c r="D8" s="593">
        <v>259000</v>
      </c>
      <c r="E8" s="593">
        <v>308000</v>
      </c>
      <c r="F8" s="594">
        <f t="shared" si="0"/>
        <v>18.9189189189189</v>
      </c>
    </row>
    <row r="9" ht="17.1" customHeight="1" spans="1:6">
      <c r="A9" s="590" t="s">
        <v>48</v>
      </c>
      <c r="B9" s="591">
        <f>'[1]表一2023年收入预算（分单位）'!C9</f>
        <v>59000</v>
      </c>
      <c r="C9" s="592">
        <f>'[1]表一2023年收入预算（分单位）'!D9</f>
        <v>53000</v>
      </c>
      <c r="D9" s="593">
        <v>57250</v>
      </c>
      <c r="E9" s="593">
        <v>46000</v>
      </c>
      <c r="F9" s="594">
        <f t="shared" si="0"/>
        <v>-19.6506550218341</v>
      </c>
    </row>
    <row r="10" s="501" customFormat="1" ht="17.1" customHeight="1" spans="1:6">
      <c r="A10" s="590" t="s">
        <v>49</v>
      </c>
      <c r="B10" s="591">
        <f>'[1]表一2023年收入预算（分单位）'!C10</f>
        <v>33500</v>
      </c>
      <c r="C10" s="592">
        <f>'[1]表一2023年收入预算（分单位）'!D10</f>
        <v>31000</v>
      </c>
      <c r="D10" s="593">
        <v>21750</v>
      </c>
      <c r="E10" s="593">
        <v>20000</v>
      </c>
      <c r="F10" s="594">
        <f t="shared" si="0"/>
        <v>-8.04597701149426</v>
      </c>
    </row>
    <row r="11" ht="17.1" customHeight="1" spans="1:6">
      <c r="A11" s="590" t="s">
        <v>50</v>
      </c>
      <c r="B11" s="591">
        <f>'[1]表一2023年收入预算（分单位）'!C11</f>
        <v>1300</v>
      </c>
      <c r="C11" s="592">
        <f>'[1]表一2023年收入预算（分单位）'!D11</f>
        <v>4200</v>
      </c>
      <c r="D11" s="593">
        <v>1300</v>
      </c>
      <c r="E11" s="593">
        <v>1700</v>
      </c>
      <c r="F11" s="594">
        <f t="shared" si="0"/>
        <v>30.7692307692308</v>
      </c>
    </row>
    <row r="12" ht="17.1" customHeight="1" spans="1:6">
      <c r="A12" s="590" t="s">
        <v>51</v>
      </c>
      <c r="B12" s="591">
        <f>'[1]表一2023年收入预算（分单位）'!C12</f>
        <v>22000</v>
      </c>
      <c r="C12" s="592">
        <f>'[1]表一2023年收入预算（分单位）'!D12</f>
        <v>24000</v>
      </c>
      <c r="D12" s="593">
        <v>23000</v>
      </c>
      <c r="E12" s="593">
        <v>29000</v>
      </c>
      <c r="F12" s="594">
        <f t="shared" si="0"/>
        <v>26.0869565217391</v>
      </c>
    </row>
    <row r="13" s="501" customFormat="1" ht="17.1" customHeight="1" spans="1:6">
      <c r="A13" s="590" t="s">
        <v>52</v>
      </c>
      <c r="B13" s="591">
        <f>'[1]表一2023年收入预算（分单位）'!C13</f>
        <v>28000</v>
      </c>
      <c r="C13" s="592">
        <f>'[1]表一2023年收入预算（分单位）'!D13</f>
        <v>27000</v>
      </c>
      <c r="D13" s="593">
        <v>28000</v>
      </c>
      <c r="E13" s="593">
        <v>36000</v>
      </c>
      <c r="F13" s="594">
        <f t="shared" si="0"/>
        <v>28.5714285714286</v>
      </c>
    </row>
    <row r="14" s="501" customFormat="1" ht="17.1" customHeight="1" spans="1:6">
      <c r="A14" s="590" t="s">
        <v>53</v>
      </c>
      <c r="B14" s="591">
        <f>'[1]表一2023年收入预算（分单位）'!C14</f>
        <v>10000</v>
      </c>
      <c r="C14" s="592">
        <f>'[1]表一2023年收入预算（分单位）'!D14</f>
        <v>8600</v>
      </c>
      <c r="D14" s="593">
        <v>10000</v>
      </c>
      <c r="E14" s="593">
        <v>14000</v>
      </c>
      <c r="F14" s="594">
        <f t="shared" si="0"/>
        <v>40</v>
      </c>
    </row>
    <row r="15" ht="17.1" customHeight="1" spans="1:6">
      <c r="A15" s="590" t="s">
        <v>54</v>
      </c>
      <c r="B15" s="591">
        <f>'[1]表一2023年收入预算（分单位）'!C15</f>
        <v>20000</v>
      </c>
      <c r="C15" s="592">
        <f>'[1]表一2023年收入预算（分单位）'!D15</f>
        <v>27000</v>
      </c>
      <c r="D15" s="593">
        <v>20000</v>
      </c>
      <c r="E15" s="593">
        <v>30000</v>
      </c>
      <c r="F15" s="594">
        <f t="shared" si="0"/>
        <v>50</v>
      </c>
    </row>
    <row r="16" ht="17.1" customHeight="1" spans="1:6">
      <c r="A16" s="590" t="s">
        <v>55</v>
      </c>
      <c r="B16" s="591">
        <f>'[1]表一2023年收入预算（分单位）'!C16</f>
        <v>39000</v>
      </c>
      <c r="C16" s="592">
        <f>'[1]表一2023年收入预算（分单位）'!D16</f>
        <v>35000</v>
      </c>
      <c r="D16" s="593">
        <v>42500</v>
      </c>
      <c r="E16" s="593">
        <v>62900</v>
      </c>
      <c r="F16" s="594">
        <f t="shared" si="0"/>
        <v>48</v>
      </c>
    </row>
    <row r="17" ht="17.1" customHeight="1" spans="1:6">
      <c r="A17" s="590" t="s">
        <v>56</v>
      </c>
      <c r="B17" s="591">
        <f>'[1]表一2023年收入预算（分单位）'!C17</f>
        <v>11000</v>
      </c>
      <c r="C17" s="592">
        <f>'[1]表一2023年收入预算（分单位）'!D17</f>
        <v>7500</v>
      </c>
      <c r="D17" s="593">
        <v>11000</v>
      </c>
      <c r="E17" s="593">
        <v>16000</v>
      </c>
      <c r="F17" s="594">
        <f t="shared" si="0"/>
        <v>45.4545454545455</v>
      </c>
    </row>
    <row r="18" ht="17.1" customHeight="1" spans="1:6">
      <c r="A18" s="590" t="s">
        <v>57</v>
      </c>
      <c r="B18" s="591">
        <f>'[1]表一2023年收入预算（分单位）'!C18</f>
        <v>3500</v>
      </c>
      <c r="C18" s="592">
        <f>'[1]表一2023年收入预算（分单位）'!D18</f>
        <v>10000</v>
      </c>
      <c r="D18" s="593">
        <v>4500</v>
      </c>
      <c r="E18" s="593">
        <v>6500</v>
      </c>
      <c r="F18" s="594">
        <f t="shared" si="0"/>
        <v>44.4444444444444</v>
      </c>
    </row>
    <row r="19" ht="17.1" customHeight="1" spans="1:6">
      <c r="A19" s="590" t="s">
        <v>58</v>
      </c>
      <c r="B19" s="591">
        <f>'[1]表一2023年收入预算（分单位）'!C19</f>
        <v>24000</v>
      </c>
      <c r="C19" s="592">
        <f>'[1]表一2023年收入预算（分单位）'!D19</f>
        <v>16000</v>
      </c>
      <c r="D19" s="593">
        <v>29000</v>
      </c>
      <c r="E19" s="593">
        <v>42000</v>
      </c>
      <c r="F19" s="594">
        <f t="shared" si="0"/>
        <v>44.8275862068966</v>
      </c>
    </row>
    <row r="20" ht="17.1" customHeight="1" spans="1:6">
      <c r="A20" s="590" t="s">
        <v>59</v>
      </c>
      <c r="B20" s="591">
        <f>'[1]表一2023年收入预算（分单位）'!C20</f>
        <v>1500</v>
      </c>
      <c r="C20" s="592">
        <f>'[1]表一2023年收入预算（分单位）'!D20</f>
        <v>1200</v>
      </c>
      <c r="D20" s="593">
        <v>1500</v>
      </c>
      <c r="E20" s="593">
        <v>2000</v>
      </c>
      <c r="F20" s="594">
        <f t="shared" si="0"/>
        <v>33.3333333333333</v>
      </c>
    </row>
    <row r="21" ht="17.1" customHeight="1" spans="1:6">
      <c r="A21" s="590" t="s">
        <v>60</v>
      </c>
      <c r="B21" s="591"/>
      <c r="C21" s="595"/>
      <c r="D21" s="596">
        <f>'[1]表一2023年收入预算（分单位）'!E21</f>
        <v>0</v>
      </c>
      <c r="E21" s="593"/>
      <c r="F21" s="594"/>
    </row>
    <row r="22" ht="17.1" customHeight="1" spans="1:6">
      <c r="A22" s="585" t="s">
        <v>61</v>
      </c>
      <c r="B22" s="586">
        <f>SUM(B23:B26)</f>
        <v>221700</v>
      </c>
      <c r="C22" s="597">
        <f>SUM(C23:C26)</f>
        <v>41000</v>
      </c>
      <c r="D22" s="598">
        <v>228200</v>
      </c>
      <c r="E22" s="588">
        <f>SUM(E23:E26)</f>
        <v>167100</v>
      </c>
      <c r="F22" s="589">
        <f t="shared" ref="F22:F32" si="1">(E22/D22-1)*100</f>
        <v>-26.7747589833479</v>
      </c>
    </row>
    <row r="23" ht="17.1" customHeight="1" spans="1:6">
      <c r="A23" s="590" t="s">
        <v>62</v>
      </c>
      <c r="B23" s="591">
        <f>'[1]表一2023年收入预算（分单位）'!C23</f>
        <v>22200</v>
      </c>
      <c r="C23" s="595">
        <f>'[1]表一2023年收入预算（分单位）'!D23</f>
        <v>21000</v>
      </c>
      <c r="D23" s="596">
        <v>22200</v>
      </c>
      <c r="E23" s="593">
        <v>25000</v>
      </c>
      <c r="F23" s="594">
        <f t="shared" si="1"/>
        <v>12.6126126126126</v>
      </c>
    </row>
    <row r="24" ht="17.1" customHeight="1" spans="1:6">
      <c r="A24" s="590" t="s">
        <v>63</v>
      </c>
      <c r="B24" s="591">
        <f>'[1]表一2023年收入预算（分单位）'!C24</f>
        <v>12500</v>
      </c>
      <c r="C24" s="595">
        <f>'[1]表一2023年收入预算（分单位）'!D24</f>
        <v>7500</v>
      </c>
      <c r="D24" s="596">
        <v>13000</v>
      </c>
      <c r="E24" s="593">
        <v>16000</v>
      </c>
      <c r="F24" s="594">
        <f t="shared" si="1"/>
        <v>23.0769230769231</v>
      </c>
    </row>
    <row r="25" ht="17.1" customHeight="1" spans="1:6">
      <c r="A25" s="590" t="s">
        <v>64</v>
      </c>
      <c r="B25" s="591">
        <f>'[1]表一2023年收入预算（分单位）'!C25</f>
        <v>32000</v>
      </c>
      <c r="C25" s="595">
        <f>'[1]表一2023年收入预算（分单位）'!D25</f>
        <v>8000</v>
      </c>
      <c r="D25" s="596">
        <v>33000</v>
      </c>
      <c r="E25" s="593">
        <v>24000</v>
      </c>
      <c r="F25" s="594">
        <f t="shared" si="1"/>
        <v>-27.2727272727273</v>
      </c>
    </row>
    <row r="26" ht="17.1" customHeight="1" spans="1:6">
      <c r="A26" s="590" t="s">
        <v>65</v>
      </c>
      <c r="B26" s="591">
        <f>'[1]表一2023年收入预算（分单位）'!C26</f>
        <v>155000</v>
      </c>
      <c r="C26" s="595">
        <f>'[1]表一2023年收入预算（分单位）'!D26</f>
        <v>4500</v>
      </c>
      <c r="D26" s="596">
        <v>160000</v>
      </c>
      <c r="E26" s="593">
        <v>102100</v>
      </c>
      <c r="F26" s="594">
        <f t="shared" si="1"/>
        <v>-36.1875</v>
      </c>
    </row>
    <row r="27" ht="17.1" customHeight="1" spans="1:9">
      <c r="A27" s="599" t="s">
        <v>66</v>
      </c>
      <c r="B27" s="600">
        <f>SUM(B28:B32)</f>
        <v>410000</v>
      </c>
      <c r="C27" s="601">
        <f>SUM(C28:C32)</f>
        <v>363100</v>
      </c>
      <c r="D27" s="602">
        <f>SUM(D28:D32)</f>
        <v>393000</v>
      </c>
      <c r="E27" s="603">
        <f>SUM(E28:E32)</f>
        <v>418800</v>
      </c>
      <c r="F27" s="604">
        <f t="shared" si="1"/>
        <v>6.56488549618321</v>
      </c>
      <c r="G27" s="354"/>
      <c r="I27" s="354"/>
    </row>
    <row r="28" s="501" customFormat="1" ht="17.1" customHeight="1" spans="1:6">
      <c r="A28" s="605" t="s">
        <v>67</v>
      </c>
      <c r="B28" s="591">
        <f>'[1]表一2023年收入预算（分单位）'!C28</f>
        <v>245500</v>
      </c>
      <c r="C28" s="595">
        <f>'[1]表一2023年收入预算（分单位）'!D28</f>
        <v>206000</v>
      </c>
      <c r="D28" s="596">
        <f>D8*1</f>
        <v>259000</v>
      </c>
      <c r="E28" s="593">
        <f>E8</f>
        <v>308000</v>
      </c>
      <c r="F28" s="594">
        <f t="shared" si="1"/>
        <v>18.9189189189189</v>
      </c>
    </row>
    <row r="29" ht="17.1" customHeight="1" spans="1:6">
      <c r="A29" s="605" t="s">
        <v>68</v>
      </c>
      <c r="B29" s="591">
        <f>'[1]表一2023年收入预算（分单位）'!C29</f>
        <v>1000</v>
      </c>
      <c r="C29" s="595">
        <f>'[1]表一2023年收入预算（分单位）'!D29</f>
        <v>900</v>
      </c>
      <c r="D29" s="596">
        <v>1000</v>
      </c>
      <c r="E29" s="593">
        <v>1200</v>
      </c>
      <c r="F29" s="594">
        <f t="shared" si="1"/>
        <v>20</v>
      </c>
    </row>
    <row r="30" ht="17.1" customHeight="1" spans="1:6">
      <c r="A30" s="605" t="s">
        <v>69</v>
      </c>
      <c r="B30" s="591">
        <f>'[1]表一2023年收入预算（分单位）'!C30</f>
        <v>88500</v>
      </c>
      <c r="C30" s="595">
        <f>'[1]表一2023年收入预算（分单位）'!D30</f>
        <v>79500</v>
      </c>
      <c r="D30" s="596">
        <f>D9*1.5</f>
        <v>85875</v>
      </c>
      <c r="E30" s="593">
        <f>E9*1.5</f>
        <v>69000</v>
      </c>
      <c r="F30" s="594">
        <f t="shared" si="1"/>
        <v>-19.6506550218341</v>
      </c>
    </row>
    <row r="31" ht="17.1" customHeight="1" spans="1:6">
      <c r="A31" s="605" t="s">
        <v>70</v>
      </c>
      <c r="B31" s="591">
        <f>'[1]表一2023年收入预算（分单位）'!C31</f>
        <v>50250</v>
      </c>
      <c r="C31" s="595">
        <f>'[1]表一2023年收入预算（分单位）'!D31</f>
        <v>46500</v>
      </c>
      <c r="D31" s="596">
        <f>D10*1.5</f>
        <v>32625</v>
      </c>
      <c r="E31" s="593">
        <f>E10*1.5</f>
        <v>30000</v>
      </c>
      <c r="F31" s="594">
        <f t="shared" si="1"/>
        <v>-8.04597701149426</v>
      </c>
    </row>
    <row r="32" ht="17.1" customHeight="1" spans="1:6">
      <c r="A32" s="605" t="s">
        <v>71</v>
      </c>
      <c r="B32" s="591">
        <f>'[1]表一2023年收入预算（分单位）'!C32</f>
        <v>24750</v>
      </c>
      <c r="C32" s="595">
        <f>'[1]表一2023年收入预算（分单位）'!D32</f>
        <v>30200</v>
      </c>
      <c r="D32" s="606">
        <v>14500</v>
      </c>
      <c r="E32" s="593">
        <f>10500+100</f>
        <v>10600</v>
      </c>
      <c r="F32" s="594">
        <f t="shared" si="1"/>
        <v>-26.8965517241379</v>
      </c>
    </row>
    <row r="33" ht="17.1" customHeight="1" spans="1:9">
      <c r="A33" s="599" t="s">
        <v>72</v>
      </c>
      <c r="B33" s="600">
        <f>B27+B6</f>
        <v>1130000</v>
      </c>
      <c r="C33" s="601">
        <f>C27+C6</f>
        <v>854600</v>
      </c>
      <c r="D33" s="602">
        <f>D27+D6</f>
        <v>1130000</v>
      </c>
      <c r="E33" s="603">
        <f>E27+E6</f>
        <v>1200000</v>
      </c>
      <c r="F33" s="604">
        <v>6</v>
      </c>
      <c r="G33" s="354"/>
      <c r="H33" s="296">
        <v>1197800</v>
      </c>
      <c r="I33" s="354">
        <f>H33-E33</f>
        <v>-2200</v>
      </c>
    </row>
    <row r="34" ht="17.1" customHeight="1" spans="1:6">
      <c r="A34" s="605" t="s">
        <v>73</v>
      </c>
      <c r="B34" s="591">
        <f>'[1]表一2023年收入预算（分单位）'!C34</f>
        <v>968300</v>
      </c>
      <c r="C34" s="595">
        <f>'[1]表一2023年收入预算（分单位）'!D34</f>
        <v>813600</v>
      </c>
      <c r="D34" s="596">
        <f>D27+D7-D36</f>
        <v>966800</v>
      </c>
      <c r="E34" s="607">
        <f>E27+E7-E36</f>
        <v>1082900</v>
      </c>
      <c r="F34" s="594">
        <f t="shared" ref="F34:F36" si="2">(E34/D34-1)*100</f>
        <v>12.0086884567646</v>
      </c>
    </row>
    <row r="35" s="501" customFormat="1" ht="17.1" customHeight="1" spans="1:6">
      <c r="A35" s="605" t="s">
        <v>74</v>
      </c>
      <c r="B35" s="591">
        <f>'[1]表一2023年收入预算（分单位）'!C35</f>
        <v>221700</v>
      </c>
      <c r="C35" s="595">
        <f>'[1]表一2023年收入预算（分单位）'!D35</f>
        <v>41000</v>
      </c>
      <c r="D35" s="596">
        <f>D22</f>
        <v>228200</v>
      </c>
      <c r="E35" s="608">
        <f>E22</f>
        <v>167100</v>
      </c>
      <c r="F35" s="594">
        <f t="shared" si="2"/>
        <v>-26.7747589833479</v>
      </c>
    </row>
    <row r="36" s="501" customFormat="1" ht="17.1" customHeight="1" spans="1:6">
      <c r="A36" s="609" t="s">
        <v>75</v>
      </c>
      <c r="B36" s="591">
        <f>'[1]表一2023年收入预算（分单位）'!C36</f>
        <v>-60000</v>
      </c>
      <c r="C36" s="595">
        <f>'[1]表一2023年收入预算（分单位）'!D36</f>
        <v>0</v>
      </c>
      <c r="D36" s="596">
        <v>-65000</v>
      </c>
      <c r="E36" s="608">
        <v>-50000</v>
      </c>
      <c r="F36" s="594">
        <f t="shared" si="2"/>
        <v>-23.0769230769231</v>
      </c>
    </row>
    <row r="37" ht="17.1" customHeight="1" spans="1:6">
      <c r="A37" s="599" t="s">
        <v>79</v>
      </c>
      <c r="B37" s="610">
        <f>(B27+B7)/B33*100</f>
        <v>80.3805309734513</v>
      </c>
      <c r="C37" s="611">
        <f>(C27+C7)/C33*100</f>
        <v>95.2024338871987</v>
      </c>
      <c r="D37" s="612">
        <f>(D27+D7)/D33*100</f>
        <v>79.8053097345133</v>
      </c>
      <c r="E37" s="613">
        <f>(E27+E7)/E33*100</f>
        <v>86.075</v>
      </c>
      <c r="F37" s="594"/>
    </row>
    <row r="38" ht="17.1" customHeight="1" spans="1:6">
      <c r="A38" s="614" t="s">
        <v>948</v>
      </c>
      <c r="B38" s="615">
        <f>'[1]表一2023年收入预算（分单位）'!C41</f>
        <v>69.2083333333333</v>
      </c>
      <c r="C38" s="616">
        <f>'[1]表一2023年收入预算（分单位）'!D41</f>
        <v>91.6581892166836</v>
      </c>
      <c r="D38" s="617">
        <v>69</v>
      </c>
      <c r="E38" s="618">
        <f>E7/E6*100</f>
        <v>78.6098310291859</v>
      </c>
      <c r="F38" s="619"/>
    </row>
    <row r="39" spans="1:1">
      <c r="A39" s="620"/>
    </row>
    <row r="40" spans="1:1">
      <c r="A40" s="620"/>
    </row>
    <row r="41" spans="1:1">
      <c r="A41" s="620"/>
    </row>
    <row r="42" spans="1:1">
      <c r="A42" s="620"/>
    </row>
    <row r="43" spans="1:1">
      <c r="A43" s="620"/>
    </row>
    <row r="44" spans="1:1">
      <c r="A44" s="620"/>
    </row>
    <row r="45" spans="1:1">
      <c r="A45" s="620"/>
    </row>
    <row r="46" spans="1:1">
      <c r="A46" s="620"/>
    </row>
    <row r="47" spans="1:1">
      <c r="A47" s="620"/>
    </row>
    <row r="48" spans="1:1">
      <c r="A48" s="620"/>
    </row>
    <row r="49" spans="1:1">
      <c r="A49" s="620"/>
    </row>
    <row r="50" spans="1:1">
      <c r="A50" s="620"/>
    </row>
    <row r="51" spans="1:1">
      <c r="A51" s="620"/>
    </row>
    <row r="52" spans="1:1">
      <c r="A52" s="620"/>
    </row>
    <row r="53" spans="1:1">
      <c r="A53" s="620"/>
    </row>
    <row r="54" spans="1:1">
      <c r="A54" s="620"/>
    </row>
    <row r="55" spans="1:1">
      <c r="A55" s="620"/>
    </row>
    <row r="56" spans="1:1">
      <c r="A56" s="620"/>
    </row>
    <row r="57" spans="1:1">
      <c r="A57" s="620"/>
    </row>
    <row r="58" spans="1:1">
      <c r="A58" s="620"/>
    </row>
    <row r="59" spans="1:1">
      <c r="A59" s="620"/>
    </row>
    <row r="60" spans="1:1">
      <c r="A60" s="620"/>
    </row>
    <row r="61" spans="1:1">
      <c r="A61" s="620"/>
    </row>
    <row r="62" spans="1:1">
      <c r="A62" s="620"/>
    </row>
    <row r="63" spans="1:1">
      <c r="A63" s="620"/>
    </row>
    <row r="64" spans="1:1">
      <c r="A64" s="620"/>
    </row>
    <row r="65" spans="1:1">
      <c r="A65" s="620"/>
    </row>
    <row r="66" spans="1:1">
      <c r="A66" s="620"/>
    </row>
    <row r="67" spans="1:1">
      <c r="A67" s="620"/>
    </row>
    <row r="68" spans="1:1">
      <c r="A68" s="620"/>
    </row>
    <row r="69" spans="1:1">
      <c r="A69" s="620"/>
    </row>
    <row r="70" spans="1:1">
      <c r="A70" s="620"/>
    </row>
    <row r="71" spans="1:1">
      <c r="A71" s="620"/>
    </row>
    <row r="72" spans="1:1">
      <c r="A72" s="620"/>
    </row>
    <row r="73" spans="1:1">
      <c r="A73" s="620"/>
    </row>
    <row r="74" spans="1:1">
      <c r="A74" s="620"/>
    </row>
    <row r="75" spans="1:1">
      <c r="A75" s="620"/>
    </row>
    <row r="76" spans="1:1">
      <c r="A76" s="620"/>
    </row>
    <row r="77" spans="1:1">
      <c r="A77" s="620"/>
    </row>
    <row r="78" spans="1:1">
      <c r="A78" s="620"/>
    </row>
    <row r="79" spans="1:1">
      <c r="A79" s="620"/>
    </row>
    <row r="80" spans="1:1">
      <c r="A80" s="620"/>
    </row>
    <row r="81" spans="1:1">
      <c r="A81" s="620"/>
    </row>
    <row r="82" spans="1:1">
      <c r="A82" s="620"/>
    </row>
    <row r="83" spans="1:1">
      <c r="A83" s="620"/>
    </row>
    <row r="84" spans="1:1">
      <c r="A84" s="620"/>
    </row>
    <row r="85" spans="1:1">
      <c r="A85" s="620"/>
    </row>
    <row r="86" spans="1:1">
      <c r="A86" s="620"/>
    </row>
    <row r="87" spans="1:1">
      <c r="A87" s="620"/>
    </row>
    <row r="88" spans="1:1">
      <c r="A88" s="620"/>
    </row>
    <row r="89" spans="1:1">
      <c r="A89" s="620"/>
    </row>
    <row r="90" spans="1:1">
      <c r="A90" s="620"/>
    </row>
    <row r="91" spans="1:1">
      <c r="A91" s="620"/>
    </row>
    <row r="92" spans="1:1">
      <c r="A92" s="620"/>
    </row>
    <row r="93" spans="1:1">
      <c r="A93" s="620"/>
    </row>
    <row r="94" spans="1:1">
      <c r="A94" s="620"/>
    </row>
    <row r="95" spans="1:1">
      <c r="A95" s="620"/>
    </row>
    <row r="96" spans="1:1">
      <c r="A96" s="620"/>
    </row>
    <row r="97" spans="1:1">
      <c r="A97" s="620"/>
    </row>
    <row r="98" spans="1:1">
      <c r="A98" s="620"/>
    </row>
    <row r="99" spans="1:1">
      <c r="A99" s="620"/>
    </row>
    <row r="100" spans="1:1">
      <c r="A100" s="620"/>
    </row>
    <row r="101" spans="1:1">
      <c r="A101" s="620"/>
    </row>
    <row r="102" spans="1:1">
      <c r="A102" s="620"/>
    </row>
    <row r="103" spans="1:1">
      <c r="A103" s="620"/>
    </row>
    <row r="104" spans="1:1">
      <c r="A104" s="620"/>
    </row>
    <row r="105" spans="1:1">
      <c r="A105" s="620"/>
    </row>
    <row r="106" spans="1:1">
      <c r="A106" s="620"/>
    </row>
    <row r="107" spans="1:1">
      <c r="A107" s="620"/>
    </row>
    <row r="108" spans="1:1">
      <c r="A108" s="620"/>
    </row>
    <row r="109" spans="1:1">
      <c r="A109" s="620"/>
    </row>
    <row r="110" spans="1:1">
      <c r="A110" s="620"/>
    </row>
    <row r="111" spans="1:1">
      <c r="A111" s="620"/>
    </row>
    <row r="112" spans="1:1">
      <c r="A112" s="620"/>
    </row>
    <row r="113" spans="1:1">
      <c r="A113" s="620"/>
    </row>
    <row r="114" spans="1:1">
      <c r="A114" s="620"/>
    </row>
    <row r="115" spans="1:1">
      <c r="A115" s="620"/>
    </row>
    <row r="116" spans="1:1">
      <c r="A116" s="620"/>
    </row>
    <row r="117" spans="1:1">
      <c r="A117" s="620"/>
    </row>
    <row r="118" spans="1:1">
      <c r="A118" s="620"/>
    </row>
    <row r="119" spans="1:1">
      <c r="A119" s="620"/>
    </row>
    <row r="120" spans="1:1">
      <c r="A120" s="620"/>
    </row>
    <row r="121" spans="1:1">
      <c r="A121" s="620"/>
    </row>
    <row r="122" spans="1:1">
      <c r="A122" s="620"/>
    </row>
    <row r="123" spans="1:1">
      <c r="A123" s="620"/>
    </row>
    <row r="124" spans="1:1">
      <c r="A124" s="620"/>
    </row>
    <row r="125" spans="1:1">
      <c r="A125" s="620"/>
    </row>
    <row r="126" spans="1:1">
      <c r="A126" s="620"/>
    </row>
    <row r="127" spans="1:1">
      <c r="A127" s="620"/>
    </row>
    <row r="128" spans="1:1">
      <c r="A128" s="620"/>
    </row>
    <row r="129" spans="1:1">
      <c r="A129" s="620"/>
    </row>
    <row r="130" spans="1:1">
      <c r="A130" s="620"/>
    </row>
    <row r="131" spans="1:1">
      <c r="A131" s="620"/>
    </row>
    <row r="132" spans="1:1">
      <c r="A132" s="620"/>
    </row>
    <row r="133" spans="1:1">
      <c r="A133" s="620"/>
    </row>
    <row r="134" spans="1:1">
      <c r="A134" s="620"/>
    </row>
    <row r="135" spans="1:1">
      <c r="A135" s="620"/>
    </row>
    <row r="136" spans="1:1">
      <c r="A136" s="620"/>
    </row>
    <row r="137" spans="1:1">
      <c r="A137" s="620"/>
    </row>
    <row r="138" spans="1:1">
      <c r="A138" s="620"/>
    </row>
    <row r="139" spans="1:1">
      <c r="A139" s="620"/>
    </row>
    <row r="140" spans="1:1">
      <c r="A140" s="620"/>
    </row>
    <row r="141" spans="1:1">
      <c r="A141" s="620"/>
    </row>
    <row r="142" spans="1:1">
      <c r="A142" s="620"/>
    </row>
    <row r="143" spans="1:1">
      <c r="A143" s="620"/>
    </row>
    <row r="144" spans="1:1">
      <c r="A144" s="620"/>
    </row>
    <row r="145" spans="1:1">
      <c r="A145" s="620"/>
    </row>
    <row r="146" spans="1:1">
      <c r="A146" s="620"/>
    </row>
    <row r="147" spans="1:1">
      <c r="A147" s="620"/>
    </row>
    <row r="148" spans="1:1">
      <c r="A148" s="620"/>
    </row>
    <row r="149" spans="1:1">
      <c r="A149" s="620"/>
    </row>
    <row r="150" spans="1:1">
      <c r="A150" s="620"/>
    </row>
    <row r="151" spans="1:1">
      <c r="A151" s="620"/>
    </row>
    <row r="152" spans="1:1">
      <c r="A152" s="620"/>
    </row>
    <row r="153" spans="1:1">
      <c r="A153" s="620"/>
    </row>
    <row r="154" spans="1:1">
      <c r="A154" s="620"/>
    </row>
    <row r="155" spans="1:1">
      <c r="A155" s="620"/>
    </row>
    <row r="156" spans="1:1">
      <c r="A156" s="620"/>
    </row>
    <row r="157" spans="1:1">
      <c r="A157" s="620"/>
    </row>
    <row r="158" spans="1:1">
      <c r="A158" s="620"/>
    </row>
    <row r="159" spans="1:1">
      <c r="A159" s="620"/>
    </row>
    <row r="160" spans="1:1">
      <c r="A160" s="620"/>
    </row>
    <row r="161" spans="1:1">
      <c r="A161" s="620"/>
    </row>
    <row r="162" spans="1:1">
      <c r="A162" s="620"/>
    </row>
    <row r="163" spans="1:1">
      <c r="A163" s="620"/>
    </row>
    <row r="164" spans="1:1">
      <c r="A164" s="620"/>
    </row>
    <row r="165" spans="1:1">
      <c r="A165" s="620"/>
    </row>
    <row r="166" spans="1:1">
      <c r="A166" s="620"/>
    </row>
    <row r="167" spans="1:1">
      <c r="A167" s="620"/>
    </row>
    <row r="168" spans="1:1">
      <c r="A168" s="620"/>
    </row>
    <row r="169" spans="1:1">
      <c r="A169" s="620"/>
    </row>
    <row r="170" spans="1:1">
      <c r="A170" s="620"/>
    </row>
    <row r="171" spans="1:1">
      <c r="A171" s="620"/>
    </row>
    <row r="172" spans="1:1">
      <c r="A172" s="620"/>
    </row>
    <row r="173" spans="1:1">
      <c r="A173" s="620"/>
    </row>
    <row r="174" spans="1:1">
      <c r="A174" s="620"/>
    </row>
    <row r="175" spans="1:1">
      <c r="A175" s="620"/>
    </row>
    <row r="176" spans="1:1">
      <c r="A176" s="620"/>
    </row>
    <row r="177" spans="1:1">
      <c r="A177" s="620"/>
    </row>
    <row r="178" spans="1:1">
      <c r="A178" s="620"/>
    </row>
    <row r="179" spans="1:1">
      <c r="A179" s="620"/>
    </row>
    <row r="180" spans="1:1">
      <c r="A180" s="620"/>
    </row>
    <row r="181" spans="1:1">
      <c r="A181" s="620"/>
    </row>
    <row r="182" spans="1:1">
      <c r="A182" s="620"/>
    </row>
    <row r="183" spans="1:1">
      <c r="A183" s="620"/>
    </row>
    <row r="184" spans="1:1">
      <c r="A184" s="620"/>
    </row>
    <row r="185" spans="1:1">
      <c r="A185" s="620"/>
    </row>
    <row r="186" spans="1:1">
      <c r="A186" s="620"/>
    </row>
    <row r="187" spans="1:1">
      <c r="A187" s="620"/>
    </row>
    <row r="188" spans="1:1">
      <c r="A188" s="620"/>
    </row>
    <row r="189" spans="1:1">
      <c r="A189" s="620"/>
    </row>
    <row r="190" spans="1:1">
      <c r="A190" s="620"/>
    </row>
    <row r="191" spans="1:1">
      <c r="A191" s="620"/>
    </row>
    <row r="192" spans="1:1">
      <c r="A192" s="620"/>
    </row>
    <row r="193" spans="1:1">
      <c r="A193" s="620"/>
    </row>
    <row r="194" spans="1:1">
      <c r="A194" s="620"/>
    </row>
    <row r="195" spans="1:1">
      <c r="A195" s="620"/>
    </row>
    <row r="196" spans="1:1">
      <c r="A196" s="620"/>
    </row>
    <row r="197" spans="1:1">
      <c r="A197" s="620"/>
    </row>
    <row r="198" spans="1:1">
      <c r="A198" s="620"/>
    </row>
    <row r="199" spans="1:1">
      <c r="A199" s="620"/>
    </row>
    <row r="200" spans="1:1">
      <c r="A200" s="620"/>
    </row>
    <row r="201" spans="1:1">
      <c r="A201" s="620"/>
    </row>
    <row r="202" spans="1:1">
      <c r="A202" s="620"/>
    </row>
    <row r="203" spans="1:1">
      <c r="A203" s="620"/>
    </row>
    <row r="204" spans="1:1">
      <c r="A204" s="620"/>
    </row>
    <row r="205" spans="1:1">
      <c r="A205" s="620"/>
    </row>
    <row r="206" spans="1:1">
      <c r="A206" s="620"/>
    </row>
    <row r="207" spans="1:1">
      <c r="A207" s="620"/>
    </row>
    <row r="208" spans="1:1">
      <c r="A208" s="620"/>
    </row>
    <row r="209" spans="1:1">
      <c r="A209" s="620"/>
    </row>
    <row r="210" spans="1:1">
      <c r="A210" s="620"/>
    </row>
    <row r="211" spans="1:1">
      <c r="A211" s="620"/>
    </row>
    <row r="212" spans="1:1">
      <c r="A212" s="620"/>
    </row>
    <row r="213" spans="1:1">
      <c r="A213" s="620"/>
    </row>
    <row r="214" spans="1:1">
      <c r="A214" s="620"/>
    </row>
    <row r="215" spans="1:1">
      <c r="A215" s="620"/>
    </row>
    <row r="216" spans="1:1">
      <c r="A216" s="620"/>
    </row>
    <row r="217" spans="1:1">
      <c r="A217" s="620"/>
    </row>
    <row r="218" spans="1:1">
      <c r="A218" s="620"/>
    </row>
    <row r="219" spans="1:1">
      <c r="A219" s="620"/>
    </row>
    <row r="220" spans="1:1">
      <c r="A220" s="620"/>
    </row>
    <row r="221" spans="1:1">
      <c r="A221" s="620"/>
    </row>
    <row r="222" spans="1:1">
      <c r="A222" s="620"/>
    </row>
    <row r="223" spans="1:1">
      <c r="A223" s="620"/>
    </row>
    <row r="224" spans="1:1">
      <c r="A224" s="620"/>
    </row>
    <row r="225" spans="1:1">
      <c r="A225" s="620"/>
    </row>
    <row r="226" spans="1:1">
      <c r="A226" s="620"/>
    </row>
    <row r="227" spans="1:1">
      <c r="A227" s="620"/>
    </row>
    <row r="228" spans="1:1">
      <c r="A228" s="620"/>
    </row>
    <row r="229" spans="1:1">
      <c r="A229" s="620"/>
    </row>
    <row r="230" spans="1:1">
      <c r="A230" s="620"/>
    </row>
    <row r="231" spans="1:1">
      <c r="A231" s="620"/>
    </row>
    <row r="232" spans="1:1">
      <c r="A232" s="620"/>
    </row>
    <row r="233" spans="1:1">
      <c r="A233" s="620"/>
    </row>
    <row r="234" spans="1:1">
      <c r="A234" s="620"/>
    </row>
    <row r="235" spans="1:1">
      <c r="A235" s="620"/>
    </row>
    <row r="236" spans="1:1">
      <c r="A236" s="620"/>
    </row>
    <row r="237" spans="1:1">
      <c r="A237" s="620"/>
    </row>
    <row r="238" spans="1:1">
      <c r="A238" s="620"/>
    </row>
    <row r="239" spans="1:1">
      <c r="A239" s="620"/>
    </row>
    <row r="240" spans="1:1">
      <c r="A240" s="620"/>
    </row>
    <row r="241" spans="1:1">
      <c r="A241" s="620"/>
    </row>
    <row r="242" spans="1:1">
      <c r="A242" s="620"/>
    </row>
    <row r="243" spans="1:1">
      <c r="A243" s="620"/>
    </row>
    <row r="244" spans="1:1">
      <c r="A244" s="620"/>
    </row>
    <row r="245" spans="1:1">
      <c r="A245" s="620"/>
    </row>
    <row r="246" spans="1:1">
      <c r="A246" s="620"/>
    </row>
    <row r="247" spans="1:1">
      <c r="A247" s="620"/>
    </row>
    <row r="248" spans="1:1">
      <c r="A248" s="620"/>
    </row>
    <row r="249" spans="1:1">
      <c r="A249" s="620"/>
    </row>
    <row r="250" spans="1:1">
      <c r="A250" s="620"/>
    </row>
    <row r="251" spans="1:1">
      <c r="A251" s="620"/>
    </row>
    <row r="252" spans="1:1">
      <c r="A252" s="620"/>
    </row>
    <row r="253" spans="1:1">
      <c r="A253" s="620"/>
    </row>
    <row r="254" spans="1:1">
      <c r="A254" s="620"/>
    </row>
    <row r="255" spans="1:1">
      <c r="A255" s="620"/>
    </row>
    <row r="256" spans="1:1">
      <c r="A256" s="620"/>
    </row>
    <row r="257" spans="1:1">
      <c r="A257" s="620"/>
    </row>
    <row r="258" spans="1:1">
      <c r="A258" s="620"/>
    </row>
    <row r="259" spans="1:1">
      <c r="A259" s="620"/>
    </row>
    <row r="260" spans="1:1">
      <c r="A260" s="620"/>
    </row>
    <row r="261" spans="1:1">
      <c r="A261" s="620"/>
    </row>
    <row r="262" spans="1:1">
      <c r="A262" s="620"/>
    </row>
    <row r="263" spans="1:1">
      <c r="A263" s="620"/>
    </row>
    <row r="264" spans="1:1">
      <c r="A264" s="620"/>
    </row>
    <row r="265" spans="1:1">
      <c r="A265" s="620"/>
    </row>
    <row r="266" spans="1:1">
      <c r="A266" s="620"/>
    </row>
    <row r="267" spans="1:1">
      <c r="A267" s="620"/>
    </row>
    <row r="268" spans="1:1">
      <c r="A268" s="620"/>
    </row>
    <row r="269" spans="1:1">
      <c r="A269" s="620"/>
    </row>
    <row r="270" spans="1:1">
      <c r="A270" s="620"/>
    </row>
    <row r="271" spans="1:1">
      <c r="A271" s="620"/>
    </row>
    <row r="272" spans="1:1">
      <c r="A272" s="620"/>
    </row>
    <row r="273" spans="1:1">
      <c r="A273" s="620"/>
    </row>
    <row r="274" spans="1:1">
      <c r="A274" s="620"/>
    </row>
    <row r="275" spans="1:1">
      <c r="A275" s="620"/>
    </row>
    <row r="276" spans="1:1">
      <c r="A276" s="620"/>
    </row>
    <row r="277" spans="1:1">
      <c r="A277" s="620"/>
    </row>
    <row r="278" spans="1:1">
      <c r="A278" s="620"/>
    </row>
    <row r="279" spans="1:1">
      <c r="A279" s="620"/>
    </row>
    <row r="280" spans="1:1">
      <c r="A280" s="620"/>
    </row>
    <row r="281" spans="1:1">
      <c r="A281" s="620"/>
    </row>
    <row r="282" spans="1:1">
      <c r="A282" s="620"/>
    </row>
    <row r="283" spans="1:1">
      <c r="A283" s="620"/>
    </row>
    <row r="284" spans="1:1">
      <c r="A284" s="620"/>
    </row>
    <row r="285" spans="1:1">
      <c r="A285" s="620"/>
    </row>
    <row r="286" spans="1:1">
      <c r="A286" s="620"/>
    </row>
    <row r="287" spans="1:1">
      <c r="A287" s="620"/>
    </row>
    <row r="288" spans="1:1">
      <c r="A288" s="620"/>
    </row>
    <row r="289" spans="1:1">
      <c r="A289" s="620"/>
    </row>
    <row r="290" spans="1:1">
      <c r="A290" s="620"/>
    </row>
    <row r="291" spans="1:1">
      <c r="A291" s="620"/>
    </row>
    <row r="292" spans="1:1">
      <c r="A292" s="620"/>
    </row>
    <row r="293" spans="1:1">
      <c r="A293" s="620"/>
    </row>
    <row r="294" spans="1:1">
      <c r="A294" s="620"/>
    </row>
    <row r="295" spans="1:1">
      <c r="A295" s="620"/>
    </row>
    <row r="296" spans="1:1">
      <c r="A296" s="620"/>
    </row>
    <row r="297" spans="1:1">
      <c r="A297" s="620"/>
    </row>
    <row r="298" spans="1:1">
      <c r="A298" s="620"/>
    </row>
    <row r="299" spans="1:1">
      <c r="A299" s="620"/>
    </row>
    <row r="300" spans="1:1">
      <c r="A300" s="620"/>
    </row>
    <row r="301" spans="1:1">
      <c r="A301" s="620"/>
    </row>
    <row r="302" spans="1:1">
      <c r="A302" s="620"/>
    </row>
    <row r="303" spans="1:1">
      <c r="A303" s="620"/>
    </row>
    <row r="304" spans="1:1">
      <c r="A304" s="620"/>
    </row>
    <row r="305" spans="1:1">
      <c r="A305" s="620"/>
    </row>
    <row r="306" spans="1:1">
      <c r="A306" s="620"/>
    </row>
    <row r="307" spans="1:1">
      <c r="A307" s="620"/>
    </row>
    <row r="308" spans="1:1">
      <c r="A308" s="620"/>
    </row>
    <row r="309" spans="1:1">
      <c r="A309" s="620"/>
    </row>
    <row r="310" spans="1:1">
      <c r="A310" s="620"/>
    </row>
    <row r="311" spans="1:1">
      <c r="A311" s="620"/>
    </row>
    <row r="312" spans="1:1">
      <c r="A312" s="620"/>
    </row>
    <row r="313" spans="1:1">
      <c r="A313" s="620"/>
    </row>
    <row r="314" spans="1:1">
      <c r="A314" s="620"/>
    </row>
    <row r="315" spans="1:1">
      <c r="A315" s="620"/>
    </row>
    <row r="316" spans="1:1">
      <c r="A316" s="620"/>
    </row>
    <row r="317" spans="1:1">
      <c r="A317" s="620"/>
    </row>
    <row r="318" spans="1:1">
      <c r="A318" s="620"/>
    </row>
    <row r="319" spans="1:1">
      <c r="A319" s="620"/>
    </row>
    <row r="320" spans="1:1">
      <c r="A320" s="620"/>
    </row>
    <row r="321" spans="1:1">
      <c r="A321" s="620"/>
    </row>
    <row r="322" spans="1:1">
      <c r="A322" s="620"/>
    </row>
    <row r="323" spans="1:1">
      <c r="A323" s="620"/>
    </row>
    <row r="324" spans="1:1">
      <c r="A324" s="620"/>
    </row>
    <row r="325" spans="1:1">
      <c r="A325" s="620"/>
    </row>
    <row r="326" spans="1:1">
      <c r="A326" s="620"/>
    </row>
    <row r="327" spans="1:1">
      <c r="A327" s="620"/>
    </row>
    <row r="328" spans="1:1">
      <c r="A328" s="620"/>
    </row>
    <row r="329" spans="1:1">
      <c r="A329" s="620"/>
    </row>
    <row r="330" spans="1:1">
      <c r="A330" s="620"/>
    </row>
    <row r="331" spans="1:1">
      <c r="A331" s="620"/>
    </row>
    <row r="332" spans="1:1">
      <c r="A332" s="620"/>
    </row>
    <row r="333" spans="1:1">
      <c r="A333" s="620"/>
    </row>
    <row r="334" spans="1:1">
      <c r="A334" s="620"/>
    </row>
    <row r="335" spans="1:1">
      <c r="A335" s="620"/>
    </row>
    <row r="336" spans="1:1">
      <c r="A336" s="620"/>
    </row>
    <row r="337" spans="1:1">
      <c r="A337" s="620"/>
    </row>
    <row r="338" spans="1:1">
      <c r="A338" s="620"/>
    </row>
    <row r="339" spans="1:1">
      <c r="A339" s="620"/>
    </row>
    <row r="340" spans="1:1">
      <c r="A340" s="620"/>
    </row>
    <row r="341" spans="1:1">
      <c r="A341" s="620"/>
    </row>
    <row r="342" spans="1:1">
      <c r="A342" s="620"/>
    </row>
    <row r="343" spans="1:1">
      <c r="A343" s="620"/>
    </row>
    <row r="344" spans="1:1">
      <c r="A344" s="620"/>
    </row>
    <row r="345" spans="1:1">
      <c r="A345" s="620"/>
    </row>
    <row r="346" spans="1:1">
      <c r="A346" s="620"/>
    </row>
    <row r="347" spans="1:1">
      <c r="A347" s="620"/>
    </row>
    <row r="348" spans="1:1">
      <c r="A348" s="620"/>
    </row>
    <row r="349" spans="1:1">
      <c r="A349" s="620"/>
    </row>
    <row r="350" spans="1:1">
      <c r="A350" s="620"/>
    </row>
    <row r="351" spans="1:1">
      <c r="A351" s="620"/>
    </row>
    <row r="352" spans="1:1">
      <c r="A352" s="620"/>
    </row>
    <row r="353" spans="1:1">
      <c r="A353" s="620"/>
    </row>
    <row r="354" spans="1:1">
      <c r="A354" s="620"/>
    </row>
    <row r="355" spans="1:1">
      <c r="A355" s="620"/>
    </row>
    <row r="356" spans="1:1">
      <c r="A356" s="620"/>
    </row>
    <row r="357" spans="1:1">
      <c r="A357" s="620"/>
    </row>
    <row r="358" spans="1:1">
      <c r="A358" s="620"/>
    </row>
    <row r="359" spans="1:1">
      <c r="A359" s="620"/>
    </row>
    <row r="360" spans="1:1">
      <c r="A360" s="620"/>
    </row>
    <row r="361" spans="1:1">
      <c r="A361" s="620"/>
    </row>
    <row r="362" spans="1:1">
      <c r="A362" s="620"/>
    </row>
    <row r="363" spans="1:1">
      <c r="A363" s="620"/>
    </row>
    <row r="364" spans="1:1">
      <c r="A364" s="620"/>
    </row>
    <row r="365" spans="1:1">
      <c r="A365" s="620"/>
    </row>
    <row r="366" spans="1:1">
      <c r="A366" s="620"/>
    </row>
    <row r="367" spans="1:1">
      <c r="A367" s="620"/>
    </row>
    <row r="368" spans="1:1">
      <c r="A368" s="620"/>
    </row>
    <row r="369" spans="1:1">
      <c r="A369" s="620"/>
    </row>
    <row r="370" spans="1:1">
      <c r="A370" s="620"/>
    </row>
    <row r="371" spans="1:1">
      <c r="A371" s="620"/>
    </row>
    <row r="372" spans="1:1">
      <c r="A372" s="620"/>
    </row>
    <row r="373" spans="1:1">
      <c r="A373" s="620"/>
    </row>
    <row r="374" spans="1:1">
      <c r="A374" s="620"/>
    </row>
    <row r="375" spans="1:1">
      <c r="A375" s="620"/>
    </row>
    <row r="376" spans="1:1">
      <c r="A376" s="620"/>
    </row>
    <row r="377" spans="1:1">
      <c r="A377" s="620"/>
    </row>
    <row r="378" spans="1:1">
      <c r="A378" s="620"/>
    </row>
    <row r="379" spans="1:1">
      <c r="A379" s="620"/>
    </row>
    <row r="380" spans="1:1">
      <c r="A380" s="620"/>
    </row>
    <row r="381" spans="1:1">
      <c r="A381" s="620"/>
    </row>
    <row r="382" spans="1:1">
      <c r="A382" s="620"/>
    </row>
    <row r="383" spans="1:1">
      <c r="A383" s="620"/>
    </row>
    <row r="384" spans="1:1">
      <c r="A384" s="620"/>
    </row>
    <row r="385" spans="1:1">
      <c r="A385" s="620"/>
    </row>
    <row r="386" spans="1:1">
      <c r="A386" s="620"/>
    </row>
    <row r="387" spans="1:1">
      <c r="A387" s="620"/>
    </row>
    <row r="388" spans="1:1">
      <c r="A388" s="620"/>
    </row>
    <row r="389" spans="1:1">
      <c r="A389" s="620"/>
    </row>
    <row r="390" spans="1:1">
      <c r="A390" s="620"/>
    </row>
    <row r="391" spans="1:1">
      <c r="A391" s="620"/>
    </row>
    <row r="392" spans="1:1">
      <c r="A392" s="620"/>
    </row>
    <row r="393" spans="1:1">
      <c r="A393" s="620"/>
    </row>
    <row r="394" spans="1:1">
      <c r="A394" s="620"/>
    </row>
    <row r="395" spans="1:1">
      <c r="A395" s="620"/>
    </row>
    <row r="396" spans="1:1">
      <c r="A396" s="620"/>
    </row>
    <row r="397" spans="1:1">
      <c r="A397" s="620"/>
    </row>
    <row r="398" spans="1:1">
      <c r="A398" s="620"/>
    </row>
    <row r="399" spans="1:1">
      <c r="A399" s="620"/>
    </row>
    <row r="400" spans="1:1">
      <c r="A400" s="620"/>
    </row>
    <row r="401" spans="1:1">
      <c r="A401" s="620"/>
    </row>
    <row r="402" spans="1:1">
      <c r="A402" s="620"/>
    </row>
    <row r="403" spans="1:1">
      <c r="A403" s="620"/>
    </row>
    <row r="404" spans="1:1">
      <c r="A404" s="620"/>
    </row>
    <row r="405" spans="1:1">
      <c r="A405" s="620"/>
    </row>
    <row r="406" spans="1:1">
      <c r="A406" s="620"/>
    </row>
    <row r="407" spans="1:1">
      <c r="A407" s="620"/>
    </row>
    <row r="408" spans="1:1">
      <c r="A408" s="620"/>
    </row>
    <row r="409" spans="1:1">
      <c r="A409" s="620"/>
    </row>
    <row r="410" spans="1:1">
      <c r="A410" s="620"/>
    </row>
    <row r="411" spans="1:1">
      <c r="A411" s="620"/>
    </row>
    <row r="412" spans="1:1">
      <c r="A412" s="620"/>
    </row>
    <row r="413" spans="1:1">
      <c r="A413" s="620"/>
    </row>
    <row r="414" spans="1:1">
      <c r="A414" s="620"/>
    </row>
    <row r="415" spans="1:1">
      <c r="A415" s="620"/>
    </row>
    <row r="416" spans="1:1">
      <c r="A416" s="620"/>
    </row>
    <row r="417" spans="1:1">
      <c r="A417" s="620"/>
    </row>
    <row r="418" spans="1:1">
      <c r="A418" s="620"/>
    </row>
    <row r="419" spans="1:1">
      <c r="A419" s="620"/>
    </row>
    <row r="420" spans="1:1">
      <c r="A420" s="620"/>
    </row>
    <row r="421" spans="1:1">
      <c r="A421" s="620"/>
    </row>
    <row r="422" spans="1:1">
      <c r="A422" s="620"/>
    </row>
    <row r="423" spans="1:1">
      <c r="A423" s="620"/>
    </row>
    <row r="424" spans="1:1">
      <c r="A424" s="620"/>
    </row>
    <row r="425" spans="1:1">
      <c r="A425" s="620"/>
    </row>
    <row r="426" spans="1:1">
      <c r="A426" s="620"/>
    </row>
    <row r="427" spans="1:1">
      <c r="A427" s="620"/>
    </row>
    <row r="428" spans="1:1">
      <c r="A428" s="620"/>
    </row>
    <row r="429" spans="1:1">
      <c r="A429" s="620"/>
    </row>
    <row r="430" spans="1:1">
      <c r="A430" s="620"/>
    </row>
    <row r="431" spans="1:1">
      <c r="A431" s="620"/>
    </row>
    <row r="432" spans="1:1">
      <c r="A432" s="620"/>
    </row>
    <row r="433" spans="1:1">
      <c r="A433" s="620"/>
    </row>
    <row r="434" spans="1:1">
      <c r="A434" s="620"/>
    </row>
    <row r="435" spans="1:1">
      <c r="A435" s="620"/>
    </row>
    <row r="436" spans="1:1">
      <c r="A436" s="620"/>
    </row>
    <row r="437" spans="1:1">
      <c r="A437" s="620"/>
    </row>
    <row r="438" spans="1:1">
      <c r="A438" s="620"/>
    </row>
    <row r="439" spans="1:1">
      <c r="A439" s="620"/>
    </row>
    <row r="440" spans="1:1">
      <c r="A440" s="620"/>
    </row>
    <row r="441" spans="1:1">
      <c r="A441" s="620"/>
    </row>
    <row r="442" spans="1:1">
      <c r="A442" s="620"/>
    </row>
    <row r="443" spans="1:1">
      <c r="A443" s="620"/>
    </row>
    <row r="444" spans="1:1">
      <c r="A444" s="620"/>
    </row>
    <row r="445" spans="1:1">
      <c r="A445" s="620"/>
    </row>
    <row r="446" spans="1:1">
      <c r="A446" s="620"/>
    </row>
    <row r="447" spans="1:1">
      <c r="A447" s="620"/>
    </row>
    <row r="448" spans="1:1">
      <c r="A448" s="620"/>
    </row>
    <row r="449" spans="1:1">
      <c r="A449" s="620"/>
    </row>
    <row r="450" spans="1:1">
      <c r="A450" s="620"/>
    </row>
    <row r="451" ht="13.25" spans="1:4">
      <c r="A451" s="620"/>
      <c r="D451" s="621"/>
    </row>
    <row r="452" spans="1:1">
      <c r="A452" s="620"/>
    </row>
    <row r="453" ht="13.25" spans="1:6">
      <c r="A453" s="622"/>
      <c r="B453" s="621"/>
      <c r="E453" s="623"/>
      <c r="F453" s="624"/>
    </row>
  </sheetData>
  <mergeCells count="7">
    <mergeCell ref="A2:F2"/>
    <mergeCell ref="B3:F3"/>
    <mergeCell ref="E4:F4"/>
    <mergeCell ref="A4:A5"/>
    <mergeCell ref="B4:B5"/>
    <mergeCell ref="C4:C5"/>
    <mergeCell ref="D4:D5"/>
  </mergeCells>
  <printOptions horizontalCentered="1"/>
  <pageMargins left="0.590277777777778" right="0.472222222222222" top="0.708333333333333" bottom="0.786805555555556" header="0.511805555555556" footer="0.590277777777778"/>
  <pageSetup paperSize="9" firstPageNumber="24" orientation="portrait" useFirstPageNumber="1" horizontalDpi="600"/>
  <headerFooter alignWithMargins="0">
    <oddFooter>&amp;C22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80"/>
  <sheetViews>
    <sheetView showZeros="0" workbookViewId="0">
      <pane xSplit="1" ySplit="4" topLeftCell="B435" activePane="bottomRight" state="frozen"/>
      <selection/>
      <selection pane="topRight"/>
      <selection pane="bottomLeft"/>
      <selection pane="bottomRight" activeCell="A2" sqref="A2:F2"/>
    </sheetView>
  </sheetViews>
  <sheetFormatPr defaultColWidth="9" defaultRowHeight="12.5"/>
  <cols>
    <col min="1" max="1" width="30.875" style="503" customWidth="1"/>
    <col min="2" max="2" width="11.875" style="297" customWidth="1"/>
    <col min="3" max="3" width="11.875" style="355" customWidth="1"/>
    <col min="4" max="4" width="9" style="504" customWidth="1"/>
    <col min="5" max="5" width="9.5" style="504" customWidth="1"/>
    <col min="6" max="6" width="14.125" style="505" customWidth="1"/>
    <col min="7" max="7" width="9" style="296"/>
    <col min="8" max="8" width="29.5" style="296" customWidth="1"/>
    <col min="9" max="9" width="9" style="354"/>
    <col min="10" max="16384" width="9" style="296"/>
  </cols>
  <sheetData>
    <row r="1" ht="21" customHeight="1" spans="1:6">
      <c r="A1" s="506" t="s">
        <v>949</v>
      </c>
      <c r="B1" s="504"/>
      <c r="C1" s="507"/>
      <c r="D1" s="508"/>
      <c r="E1" s="508"/>
      <c r="F1" s="509"/>
    </row>
    <row r="2" s="500" customFormat="1" ht="34.5" customHeight="1" spans="1:9">
      <c r="A2" s="510" t="s">
        <v>950</v>
      </c>
      <c r="B2" s="510"/>
      <c r="C2" s="511"/>
      <c r="D2" s="510"/>
      <c r="E2" s="512"/>
      <c r="F2" s="510"/>
      <c r="I2" s="536"/>
    </row>
    <row r="3" s="500" customFormat="1" ht="22.5" customHeight="1" spans="1:9">
      <c r="A3" s="513"/>
      <c r="B3" s="514"/>
      <c r="C3" s="515"/>
      <c r="D3" s="508"/>
      <c r="E3" s="508"/>
      <c r="F3" s="362" t="s">
        <v>36</v>
      </c>
      <c r="I3" s="536"/>
    </row>
    <row r="4" s="501" customFormat="1" ht="41.1" customHeight="1" spans="1:9">
      <c r="A4" s="516" t="s">
        <v>908</v>
      </c>
      <c r="B4" s="517" t="s">
        <v>951</v>
      </c>
      <c r="C4" s="518" t="s">
        <v>952</v>
      </c>
      <c r="D4" s="519" t="s">
        <v>44</v>
      </c>
      <c r="E4" s="517" t="s">
        <v>953</v>
      </c>
      <c r="F4" s="520" t="s">
        <v>86</v>
      </c>
      <c r="I4" s="537"/>
    </row>
    <row r="5" ht="20.1" customHeight="1" spans="1:6">
      <c r="A5" s="521" t="s">
        <v>89</v>
      </c>
      <c r="B5" s="499">
        <f>B6+B13+B19+B25+B30+B35+B42+B44+B49+B53+B58+B62+B65+B68+B73+B77+B81+B85+B90+B100</f>
        <v>56544</v>
      </c>
      <c r="C5" s="522">
        <f>C6+C13+C19+C25+C30+C35+C42+C44+C49+C53+C58+C62+C65+C68+C73+C77+C81+C85+C90+C100+C95</f>
        <v>58229</v>
      </c>
      <c r="D5" s="523">
        <f>ROUND((C5/B5-1)*100,2)</f>
        <v>2.98</v>
      </c>
      <c r="E5" s="522">
        <f>E6+E13+E19+E25+E30+E35+E42+E44+E49+E53+E58+E62+E65+E68+E73+E77+E81+E85+E90+E100+E95</f>
        <v>298</v>
      </c>
      <c r="F5" s="524"/>
    </row>
    <row r="6" ht="20.1" customHeight="1" spans="1:6">
      <c r="A6" s="525" t="s">
        <v>90</v>
      </c>
      <c r="B6" s="526">
        <f>SUM(B7:B12)</f>
        <v>1406</v>
      </c>
      <c r="C6" s="527">
        <f>SUM(C7:C12)</f>
        <v>1298</v>
      </c>
      <c r="D6" s="528"/>
      <c r="E6" s="529"/>
      <c r="F6" s="530"/>
    </row>
    <row r="7" ht="15" spans="1:16">
      <c r="A7" s="531" t="s">
        <v>91</v>
      </c>
      <c r="B7" s="532">
        <v>793</v>
      </c>
      <c r="C7" s="533">
        <v>717</v>
      </c>
      <c r="D7" s="528"/>
      <c r="E7" s="534"/>
      <c r="F7" s="530"/>
      <c r="G7" s="296">
        <v>2010101</v>
      </c>
      <c r="H7" s="296" t="s">
        <v>91</v>
      </c>
      <c r="I7" s="354">
        <v>716.64</v>
      </c>
      <c r="J7" s="296">
        <f t="shared" ref="J7:J12" si="0">ROUND(I7,0)</f>
        <v>717</v>
      </c>
      <c r="K7" s="296">
        <f>VLOOKUP(G7,'[2]Sheet1 (2)'!$H:$I,2,0)</f>
        <v>716.64</v>
      </c>
      <c r="L7" s="354">
        <f>C7-K7</f>
        <v>0.360000000000014</v>
      </c>
      <c r="M7" s="296">
        <v>2010101</v>
      </c>
      <c r="N7" s="296">
        <v>716.64</v>
      </c>
      <c r="O7" s="296">
        <v>2010101</v>
      </c>
      <c r="P7" s="296">
        <v>0</v>
      </c>
    </row>
    <row r="8" ht="20.1" customHeight="1" spans="1:16">
      <c r="A8" s="531" t="s">
        <v>93</v>
      </c>
      <c r="B8" s="532">
        <v>210</v>
      </c>
      <c r="C8" s="533">
        <v>177</v>
      </c>
      <c r="D8" s="528"/>
      <c r="E8" s="534"/>
      <c r="F8" s="530"/>
      <c r="G8" s="296">
        <v>2010102</v>
      </c>
      <c r="H8" s="296" t="s">
        <v>93</v>
      </c>
      <c r="I8" s="354">
        <v>176.99</v>
      </c>
      <c r="J8" s="296">
        <f t="shared" si="0"/>
        <v>177</v>
      </c>
      <c r="K8" s="296">
        <f>VLOOKUP(G8,'[2]Sheet1 (2)'!$H:$I,2,0)</f>
        <v>176.99</v>
      </c>
      <c r="L8" s="354">
        <f t="shared" ref="L8:L72" si="1">C8-K8</f>
        <v>0.00999999999999091</v>
      </c>
      <c r="M8" s="296">
        <v>2010102</v>
      </c>
      <c r="N8" s="296">
        <v>176.99</v>
      </c>
      <c r="O8" s="296">
        <v>2010102</v>
      </c>
      <c r="P8" s="296">
        <v>0</v>
      </c>
    </row>
    <row r="9" ht="20.1" customHeight="1" spans="1:16">
      <c r="A9" s="531" t="s">
        <v>95</v>
      </c>
      <c r="B9" s="532">
        <v>185</v>
      </c>
      <c r="C9" s="533">
        <v>185</v>
      </c>
      <c r="D9" s="528"/>
      <c r="E9" s="534"/>
      <c r="F9" s="530"/>
      <c r="G9" s="296">
        <v>2010104</v>
      </c>
      <c r="H9" s="296" t="s">
        <v>95</v>
      </c>
      <c r="I9" s="354">
        <v>185</v>
      </c>
      <c r="J9" s="296">
        <f t="shared" si="0"/>
        <v>185</v>
      </c>
      <c r="K9" s="296">
        <f>VLOOKUP(G9,'[2]Sheet1 (2)'!$H:$I,2,0)</f>
        <v>185</v>
      </c>
      <c r="L9" s="354">
        <f t="shared" si="1"/>
        <v>0</v>
      </c>
      <c r="M9" s="296">
        <v>2010104</v>
      </c>
      <c r="N9" s="296">
        <v>185</v>
      </c>
      <c r="O9" s="296">
        <v>2010104</v>
      </c>
      <c r="P9" s="296">
        <v>0</v>
      </c>
    </row>
    <row r="10" ht="20.1" customHeight="1" spans="1:16">
      <c r="A10" s="531" t="s">
        <v>97</v>
      </c>
      <c r="B10" s="532">
        <v>90</v>
      </c>
      <c r="C10" s="533">
        <v>90</v>
      </c>
      <c r="D10" s="528"/>
      <c r="E10" s="534"/>
      <c r="F10" s="530"/>
      <c r="G10" s="296">
        <v>2010107</v>
      </c>
      <c r="H10" s="296" t="s">
        <v>97</v>
      </c>
      <c r="I10" s="354">
        <v>90</v>
      </c>
      <c r="J10" s="296">
        <f t="shared" si="0"/>
        <v>90</v>
      </c>
      <c r="K10" s="296">
        <f>VLOOKUP(G10,'[2]Sheet1 (2)'!$H:$I,2,0)</f>
        <v>90</v>
      </c>
      <c r="L10" s="354">
        <f t="shared" si="1"/>
        <v>0</v>
      </c>
      <c r="M10" s="296">
        <v>2010107</v>
      </c>
      <c r="N10" s="296">
        <v>90</v>
      </c>
      <c r="O10" s="296">
        <v>2010107</v>
      </c>
      <c r="P10" s="296">
        <v>0</v>
      </c>
    </row>
    <row r="11" ht="20.1" customHeight="1" spans="1:16">
      <c r="A11" s="531" t="s">
        <v>99</v>
      </c>
      <c r="B11" s="532">
        <v>20</v>
      </c>
      <c r="C11" s="533">
        <v>10</v>
      </c>
      <c r="D11" s="528"/>
      <c r="E11" s="534"/>
      <c r="F11" s="530"/>
      <c r="G11" s="296">
        <v>2010108</v>
      </c>
      <c r="H11" s="296" t="s">
        <v>99</v>
      </c>
      <c r="I11" s="354">
        <v>10</v>
      </c>
      <c r="J11" s="296">
        <f t="shared" si="0"/>
        <v>10</v>
      </c>
      <c r="K11" s="296">
        <f>VLOOKUP(G11,'[2]Sheet1 (2)'!$H:$I,2,0)</f>
        <v>10</v>
      </c>
      <c r="L11" s="354">
        <f t="shared" si="1"/>
        <v>0</v>
      </c>
      <c r="M11" s="296">
        <v>2010108</v>
      </c>
      <c r="N11" s="296">
        <v>10</v>
      </c>
      <c r="O11" s="296">
        <v>2010108</v>
      </c>
      <c r="P11" s="296">
        <v>0</v>
      </c>
    </row>
    <row r="12" ht="20.1" customHeight="1" spans="1:16">
      <c r="A12" s="531" t="s">
        <v>101</v>
      </c>
      <c r="B12" s="532">
        <v>108</v>
      </c>
      <c r="C12" s="533">
        <v>119</v>
      </c>
      <c r="D12" s="528"/>
      <c r="E12" s="534"/>
      <c r="F12" s="530"/>
      <c r="G12" s="296">
        <v>2010150</v>
      </c>
      <c r="H12" s="296" t="s">
        <v>101</v>
      </c>
      <c r="I12" s="354">
        <v>118.65</v>
      </c>
      <c r="J12" s="296">
        <f t="shared" si="0"/>
        <v>119</v>
      </c>
      <c r="K12" s="296">
        <f>VLOOKUP(G12,'[2]Sheet1 (2)'!$H:$I,2,0)</f>
        <v>118.65</v>
      </c>
      <c r="L12" s="354">
        <f t="shared" si="1"/>
        <v>0.349999999999994</v>
      </c>
      <c r="M12" s="296">
        <v>2010150</v>
      </c>
      <c r="N12" s="296">
        <v>118.65</v>
      </c>
      <c r="O12" s="296">
        <v>2010150</v>
      </c>
      <c r="P12" s="296">
        <v>0</v>
      </c>
    </row>
    <row r="13" ht="20.1" customHeight="1" spans="1:16">
      <c r="A13" s="525" t="s">
        <v>105</v>
      </c>
      <c r="B13" s="526">
        <f>SUM(B14:B18)</f>
        <v>935</v>
      </c>
      <c r="C13" s="527">
        <f>SUM(C14:C18)</f>
        <v>894</v>
      </c>
      <c r="D13" s="528"/>
      <c r="E13" s="529"/>
      <c r="F13" s="530"/>
      <c r="K13" s="296" t="e">
        <f>VLOOKUP(G13,'[2]Sheet1 (2)'!$H:$I,2,0)</f>
        <v>#N/A</v>
      </c>
      <c r="L13" s="354" t="e">
        <f t="shared" si="1"/>
        <v>#N/A</v>
      </c>
      <c r="O13" s="296">
        <v>2010201</v>
      </c>
      <c r="P13" s="296">
        <v>0</v>
      </c>
    </row>
    <row r="14" ht="20.1" customHeight="1" spans="1:16">
      <c r="A14" s="531" t="s">
        <v>91</v>
      </c>
      <c r="B14" s="532">
        <v>520</v>
      </c>
      <c r="C14" s="533">
        <v>529</v>
      </c>
      <c r="D14" s="528"/>
      <c r="E14" s="534"/>
      <c r="F14" s="530"/>
      <c r="G14" s="296">
        <v>2010201</v>
      </c>
      <c r="H14" s="296" t="s">
        <v>91</v>
      </c>
      <c r="I14" s="354">
        <v>528.99</v>
      </c>
      <c r="J14" s="296">
        <f>ROUND(I14,0)</f>
        <v>529</v>
      </c>
      <c r="K14" s="296">
        <f>VLOOKUP(G14,'[2]Sheet1 (2)'!$H:$I,2,0)</f>
        <v>528.99</v>
      </c>
      <c r="L14" s="354">
        <f t="shared" si="1"/>
        <v>0.00999999999999091</v>
      </c>
      <c r="M14" s="296">
        <v>2010201</v>
      </c>
      <c r="N14" s="296">
        <v>528.99</v>
      </c>
      <c r="O14" s="296">
        <v>2010202</v>
      </c>
      <c r="P14" s="296">
        <v>0</v>
      </c>
    </row>
    <row r="15" ht="20.1" customHeight="1" spans="1:16">
      <c r="A15" s="531" t="s">
        <v>93</v>
      </c>
      <c r="B15" s="532">
        <v>65</v>
      </c>
      <c r="C15" s="533">
        <v>68</v>
      </c>
      <c r="D15" s="528"/>
      <c r="E15" s="534"/>
      <c r="F15" s="530"/>
      <c r="G15" s="296">
        <v>2010202</v>
      </c>
      <c r="H15" s="296" t="s">
        <v>93</v>
      </c>
      <c r="I15" s="354">
        <v>67.72</v>
      </c>
      <c r="J15" s="296">
        <f>ROUND(I15,0)</f>
        <v>68</v>
      </c>
      <c r="K15" s="296">
        <f>VLOOKUP(G15,'[2]Sheet1 (2)'!$H:$I,2,0)</f>
        <v>67.72</v>
      </c>
      <c r="L15" s="354">
        <f t="shared" si="1"/>
        <v>0.280000000000001</v>
      </c>
      <c r="M15" s="296">
        <v>2010202</v>
      </c>
      <c r="N15" s="296">
        <v>67.72</v>
      </c>
      <c r="O15" s="296">
        <v>2010204</v>
      </c>
      <c r="P15" s="296">
        <v>0</v>
      </c>
    </row>
    <row r="16" ht="20.1" customHeight="1" spans="1:16">
      <c r="A16" s="531" t="s">
        <v>108</v>
      </c>
      <c r="B16" s="532">
        <v>148</v>
      </c>
      <c r="C16" s="533">
        <v>148</v>
      </c>
      <c r="D16" s="528"/>
      <c r="E16" s="534"/>
      <c r="F16" s="530"/>
      <c r="G16" s="296">
        <v>2010204</v>
      </c>
      <c r="H16" s="296" t="s">
        <v>108</v>
      </c>
      <c r="I16" s="354">
        <v>148</v>
      </c>
      <c r="J16" s="296">
        <f>ROUND(I16,0)</f>
        <v>148</v>
      </c>
      <c r="K16" s="296">
        <f>VLOOKUP(G16,'[2]Sheet1 (2)'!$H:$I,2,0)</f>
        <v>148</v>
      </c>
      <c r="L16" s="354">
        <f t="shared" si="1"/>
        <v>0</v>
      </c>
      <c r="M16" s="296">
        <v>2010204</v>
      </c>
      <c r="N16" s="296">
        <v>148</v>
      </c>
      <c r="O16" s="296">
        <v>2010205</v>
      </c>
      <c r="P16" s="296">
        <v>0</v>
      </c>
    </row>
    <row r="17" ht="20.1" customHeight="1" spans="1:16">
      <c r="A17" s="531" t="s">
        <v>110</v>
      </c>
      <c r="B17" s="532">
        <v>108</v>
      </c>
      <c r="C17" s="533">
        <v>76</v>
      </c>
      <c r="D17" s="528"/>
      <c r="E17" s="534"/>
      <c r="F17" s="530"/>
      <c r="G17" s="296">
        <v>2010205</v>
      </c>
      <c r="H17" s="296" t="s">
        <v>110</v>
      </c>
      <c r="I17" s="354">
        <v>75.6</v>
      </c>
      <c r="J17" s="296">
        <f>ROUND(I17,0)</f>
        <v>76</v>
      </c>
      <c r="K17" s="296">
        <f>VLOOKUP(G17,'[2]Sheet1 (2)'!$H:$I,2,0)</f>
        <v>75.6</v>
      </c>
      <c r="L17" s="354">
        <f t="shared" si="1"/>
        <v>0.400000000000006</v>
      </c>
      <c r="M17" s="296">
        <v>2010205</v>
      </c>
      <c r="N17" s="296">
        <v>75.6</v>
      </c>
      <c r="O17" s="296">
        <v>2010250</v>
      </c>
      <c r="P17" s="296">
        <v>0</v>
      </c>
    </row>
    <row r="18" ht="20.1" customHeight="1" spans="1:16">
      <c r="A18" s="531" t="s">
        <v>101</v>
      </c>
      <c r="B18" s="532">
        <v>94</v>
      </c>
      <c r="C18" s="533">
        <v>73</v>
      </c>
      <c r="D18" s="528"/>
      <c r="E18" s="534"/>
      <c r="F18" s="530"/>
      <c r="G18" s="296">
        <v>2010250</v>
      </c>
      <c r="H18" s="296" t="s">
        <v>101</v>
      </c>
      <c r="I18" s="354">
        <v>73.03</v>
      </c>
      <c r="J18" s="296">
        <f>ROUND(I18,0)</f>
        <v>73</v>
      </c>
      <c r="K18" s="296">
        <f>VLOOKUP(G18,'[2]Sheet1 (2)'!$H:$I,2,0)</f>
        <v>73.03</v>
      </c>
      <c r="L18" s="354">
        <f t="shared" si="1"/>
        <v>-0.0300000000000011</v>
      </c>
      <c r="M18" s="296">
        <v>2010250</v>
      </c>
      <c r="N18" s="296">
        <v>73.03</v>
      </c>
      <c r="O18" s="296">
        <v>2010301</v>
      </c>
      <c r="P18" s="296">
        <v>0</v>
      </c>
    </row>
    <row r="19" ht="20.1" customHeight="1" spans="1:16">
      <c r="A19" s="525" t="s">
        <v>113</v>
      </c>
      <c r="B19" s="526">
        <f>SUM(B20:B24)</f>
        <v>20946</v>
      </c>
      <c r="C19" s="527">
        <f>SUM(C20:C24)</f>
        <v>22312</v>
      </c>
      <c r="D19" s="528"/>
      <c r="E19" s="529"/>
      <c r="F19" s="530"/>
      <c r="K19" s="296" t="e">
        <f>VLOOKUP(G19,'[2]Sheet1 (2)'!$H:$I,2,0)</f>
        <v>#N/A</v>
      </c>
      <c r="L19" s="354" t="e">
        <f t="shared" si="1"/>
        <v>#N/A</v>
      </c>
      <c r="O19" s="296">
        <v>2010302</v>
      </c>
      <c r="P19" s="296">
        <v>0</v>
      </c>
    </row>
    <row r="20" ht="20.1" customHeight="1" spans="1:16">
      <c r="A20" s="531" t="s">
        <v>91</v>
      </c>
      <c r="B20" s="532">
        <v>17676</v>
      </c>
      <c r="C20" s="533">
        <v>17204</v>
      </c>
      <c r="D20" s="528"/>
      <c r="E20" s="534"/>
      <c r="F20" s="530"/>
      <c r="G20" s="296">
        <v>2010301</v>
      </c>
      <c r="H20" s="296" t="s">
        <v>91</v>
      </c>
      <c r="I20" s="354">
        <v>17203.91</v>
      </c>
      <c r="J20" s="296">
        <f>ROUND(I20,0)</f>
        <v>17204</v>
      </c>
      <c r="K20" s="296">
        <f>VLOOKUP(G20,'[2]Sheet1 (2)'!$H:$I,2,0)</f>
        <v>17203.91</v>
      </c>
      <c r="L20" s="354">
        <f t="shared" si="1"/>
        <v>0.0900000000001455</v>
      </c>
      <c r="M20" s="296">
        <v>2010301</v>
      </c>
      <c r="N20" s="296">
        <v>17203.91</v>
      </c>
      <c r="O20" s="296">
        <v>2010350</v>
      </c>
      <c r="P20" s="296">
        <v>0</v>
      </c>
    </row>
    <row r="21" ht="20.1" customHeight="1" spans="1:16">
      <c r="A21" s="531" t="s">
        <v>93</v>
      </c>
      <c r="B21" s="532">
        <v>1396</v>
      </c>
      <c r="C21" s="533">
        <v>2360</v>
      </c>
      <c r="D21" s="528"/>
      <c r="E21" s="534"/>
      <c r="F21" s="530"/>
      <c r="G21" s="296">
        <v>2010302</v>
      </c>
      <c r="H21" s="296" t="s">
        <v>93</v>
      </c>
      <c r="I21" s="354">
        <v>2359.58</v>
      </c>
      <c r="J21" s="296">
        <f>ROUND(I21,0)</f>
        <v>2360</v>
      </c>
      <c r="K21" s="296">
        <f>VLOOKUP(G21,'[2]Sheet1 (2)'!$H:$I,2,0)</f>
        <v>2359.58</v>
      </c>
      <c r="L21" s="354">
        <f t="shared" si="1"/>
        <v>0.420000000000073</v>
      </c>
      <c r="M21" s="296">
        <v>2010302</v>
      </c>
      <c r="N21" s="296">
        <v>2359.58</v>
      </c>
      <c r="O21" s="296">
        <v>2010399</v>
      </c>
      <c r="P21" s="296">
        <v>0</v>
      </c>
    </row>
    <row r="22" ht="20.1" customHeight="1" spans="1:16">
      <c r="A22" s="531" t="s">
        <v>118</v>
      </c>
      <c r="B22" s="532">
        <v>55</v>
      </c>
      <c r="C22" s="533"/>
      <c r="D22" s="528"/>
      <c r="E22" s="534"/>
      <c r="F22" s="530"/>
      <c r="K22" s="296" t="e">
        <f>VLOOKUP(G22,'[2]Sheet1 (2)'!$H:$I,2,0)</f>
        <v>#N/A</v>
      </c>
      <c r="L22" s="354" t="e">
        <f t="shared" si="1"/>
        <v>#N/A</v>
      </c>
      <c r="O22" s="296">
        <v>2010401</v>
      </c>
      <c r="P22" s="296">
        <v>0</v>
      </c>
    </row>
    <row r="23" ht="20.1" customHeight="1" spans="1:16">
      <c r="A23" s="531" t="s">
        <v>101</v>
      </c>
      <c r="B23" s="532">
        <v>581</v>
      </c>
      <c r="C23" s="533">
        <v>525</v>
      </c>
      <c r="D23" s="528"/>
      <c r="E23" s="534"/>
      <c r="F23" s="530"/>
      <c r="G23" s="296">
        <v>2010350</v>
      </c>
      <c r="H23" s="296" t="s">
        <v>101</v>
      </c>
      <c r="I23" s="354">
        <v>524.56</v>
      </c>
      <c r="J23" s="296">
        <f>ROUND(I23,0)</f>
        <v>525</v>
      </c>
      <c r="K23" s="296">
        <f>VLOOKUP(G23,'[2]Sheet1 (2)'!$H:$I,2,0)</f>
        <v>524.56</v>
      </c>
      <c r="L23" s="354">
        <f t="shared" si="1"/>
        <v>0.440000000000055</v>
      </c>
      <c r="M23" s="296">
        <v>2010350</v>
      </c>
      <c r="N23" s="296">
        <v>524.56</v>
      </c>
      <c r="O23" s="296">
        <v>2010402</v>
      </c>
      <c r="P23" s="296">
        <v>0</v>
      </c>
    </row>
    <row r="24" ht="20.1" customHeight="1" spans="1:16">
      <c r="A24" s="531" t="s">
        <v>121</v>
      </c>
      <c r="B24" s="532">
        <v>1238</v>
      </c>
      <c r="C24" s="533">
        <v>2223</v>
      </c>
      <c r="D24" s="528"/>
      <c r="E24" s="534"/>
      <c r="F24" s="530"/>
      <c r="G24" s="296">
        <v>2010399</v>
      </c>
      <c r="H24" s="296" t="s">
        <v>123</v>
      </c>
      <c r="I24" s="354">
        <v>2223.31</v>
      </c>
      <c r="J24" s="296">
        <f>ROUND(I24,0)</f>
        <v>2223</v>
      </c>
      <c r="K24" s="296">
        <f>VLOOKUP(G24,'[2]Sheet1 (2)'!$H:$I,2,0)</f>
        <v>2223.31</v>
      </c>
      <c r="L24" s="354">
        <f t="shared" si="1"/>
        <v>-0.309999999999945</v>
      </c>
      <c r="M24" s="296">
        <v>2010399</v>
      </c>
      <c r="N24" s="296">
        <v>2223.31</v>
      </c>
      <c r="O24" s="296">
        <v>2010408</v>
      </c>
      <c r="P24" s="296">
        <v>4.65</v>
      </c>
    </row>
    <row r="25" ht="20.1" customHeight="1" spans="1:16">
      <c r="A25" s="525" t="s">
        <v>124</v>
      </c>
      <c r="B25" s="526">
        <f>SUM(B26:B29)</f>
        <v>1252</v>
      </c>
      <c r="C25" s="527">
        <f>SUM(C26:C29)</f>
        <v>1131</v>
      </c>
      <c r="D25" s="526">
        <f t="shared" ref="D25:E25" si="2">SUM(D26:D29)</f>
        <v>0</v>
      </c>
      <c r="E25" s="527">
        <f t="shared" si="2"/>
        <v>5</v>
      </c>
      <c r="F25" s="530"/>
      <c r="K25" s="296" t="e">
        <f>VLOOKUP(G25,'[2]Sheet1 (2)'!$H:$I,2,0)</f>
        <v>#N/A</v>
      </c>
      <c r="L25" s="354" t="e">
        <f t="shared" si="1"/>
        <v>#N/A</v>
      </c>
      <c r="O25" s="296">
        <v>2010450</v>
      </c>
      <c r="P25" s="296">
        <v>0</v>
      </c>
    </row>
    <row r="26" ht="20.1" customHeight="1" spans="1:16">
      <c r="A26" s="531" t="s">
        <v>91</v>
      </c>
      <c r="B26" s="532">
        <v>340</v>
      </c>
      <c r="C26" s="533">
        <v>317</v>
      </c>
      <c r="D26" s="528"/>
      <c r="E26" s="534"/>
      <c r="F26" s="530"/>
      <c r="G26" s="296">
        <v>2010401</v>
      </c>
      <c r="H26" s="296" t="s">
        <v>91</v>
      </c>
      <c r="I26" s="354">
        <v>317.25</v>
      </c>
      <c r="J26" s="296">
        <f>ROUND(I26,0)</f>
        <v>317</v>
      </c>
      <c r="K26" s="296">
        <f>VLOOKUP(G26,'[2]Sheet1 (2)'!$H:$I,2,0)</f>
        <v>317.25</v>
      </c>
      <c r="L26" s="354">
        <f t="shared" si="1"/>
        <v>-0.25</v>
      </c>
      <c r="M26" s="296">
        <v>2010401</v>
      </c>
      <c r="N26" s="296">
        <v>317.25</v>
      </c>
      <c r="O26" s="296">
        <v>2010501</v>
      </c>
      <c r="P26" s="296">
        <v>0</v>
      </c>
    </row>
    <row r="27" ht="20.1" customHeight="1" spans="1:16">
      <c r="A27" s="531" t="s">
        <v>93</v>
      </c>
      <c r="B27" s="532">
        <v>340</v>
      </c>
      <c r="C27" s="533">
        <v>247</v>
      </c>
      <c r="D27" s="528"/>
      <c r="E27" s="534"/>
      <c r="F27" s="530"/>
      <c r="G27" s="296">
        <v>2010402</v>
      </c>
      <c r="H27" s="296" t="s">
        <v>93</v>
      </c>
      <c r="I27" s="354">
        <v>247.28</v>
      </c>
      <c r="J27" s="296">
        <f>ROUND(I27,0)</f>
        <v>247</v>
      </c>
      <c r="K27" s="296">
        <f>VLOOKUP(G27,'[2]Sheet1 (2)'!$H:$I,2,0)</f>
        <v>247.28</v>
      </c>
      <c r="L27" s="354">
        <f t="shared" si="1"/>
        <v>-0.280000000000001</v>
      </c>
      <c r="M27" s="296">
        <v>2010402</v>
      </c>
      <c r="N27" s="296">
        <v>247.28</v>
      </c>
      <c r="O27" s="296">
        <v>2010502</v>
      </c>
      <c r="P27" s="296">
        <v>0</v>
      </c>
    </row>
    <row r="28" ht="20.1" customHeight="1" spans="1:16">
      <c r="A28" s="531" t="s">
        <v>129</v>
      </c>
      <c r="B28" s="532"/>
      <c r="C28" s="533"/>
      <c r="D28" s="528"/>
      <c r="E28" s="533">
        <v>5</v>
      </c>
      <c r="F28" s="530"/>
      <c r="G28" s="296">
        <v>2010408</v>
      </c>
      <c r="K28" s="296">
        <f>VLOOKUP(G28,'[2]Sheet1 (2)'!$H:$I,2,0)</f>
        <v>0</v>
      </c>
      <c r="L28" s="354">
        <f t="shared" si="1"/>
        <v>0</v>
      </c>
      <c r="M28" s="296">
        <v>2010408</v>
      </c>
      <c r="N28" s="296">
        <v>0</v>
      </c>
      <c r="O28" s="296">
        <v>2010507</v>
      </c>
      <c r="P28" s="296">
        <v>8</v>
      </c>
    </row>
    <row r="29" ht="20.1" customHeight="1" spans="1:16">
      <c r="A29" s="531" t="s">
        <v>101</v>
      </c>
      <c r="B29" s="532">
        <v>572</v>
      </c>
      <c r="C29" s="533">
        <v>567</v>
      </c>
      <c r="D29" s="528"/>
      <c r="E29" s="534"/>
      <c r="F29" s="530"/>
      <c r="G29" s="296">
        <v>2010450</v>
      </c>
      <c r="H29" s="296" t="s">
        <v>101</v>
      </c>
      <c r="I29" s="354">
        <v>567.18</v>
      </c>
      <c r="J29" s="296">
        <f>ROUND(I29,0)</f>
        <v>567</v>
      </c>
      <c r="K29" s="296">
        <f>VLOOKUP(G29,'[2]Sheet1 (2)'!$H:$I,2,0)</f>
        <v>567.18</v>
      </c>
      <c r="L29" s="354">
        <f t="shared" si="1"/>
        <v>-0.17999999999995</v>
      </c>
      <c r="M29" s="296">
        <v>2010450</v>
      </c>
      <c r="N29" s="296">
        <v>567.18</v>
      </c>
      <c r="O29" s="296">
        <v>2010550</v>
      </c>
      <c r="P29" s="296">
        <v>0</v>
      </c>
    </row>
    <row r="30" ht="20.1" customHeight="1" spans="1:16">
      <c r="A30" s="525" t="s">
        <v>134</v>
      </c>
      <c r="B30" s="526">
        <f>SUM(B31:B34)</f>
        <v>893</v>
      </c>
      <c r="C30" s="527">
        <f>SUM(C31:C34)</f>
        <v>1112</v>
      </c>
      <c r="D30" s="526"/>
      <c r="E30" s="529">
        <f>E33</f>
        <v>8</v>
      </c>
      <c r="F30" s="530"/>
      <c r="K30" s="296" t="e">
        <f>VLOOKUP(G30,'[2]Sheet1 (2)'!$H:$I,2,0)</f>
        <v>#N/A</v>
      </c>
      <c r="L30" s="354" t="e">
        <f t="shared" si="1"/>
        <v>#N/A</v>
      </c>
      <c r="O30" s="296">
        <v>2010601</v>
      </c>
      <c r="P30" s="296">
        <v>0</v>
      </c>
    </row>
    <row r="31" ht="20.1" customHeight="1" spans="1:16">
      <c r="A31" s="531" t="s">
        <v>91</v>
      </c>
      <c r="B31" s="532">
        <v>390</v>
      </c>
      <c r="C31" s="533">
        <v>377</v>
      </c>
      <c r="D31" s="528"/>
      <c r="E31" s="534"/>
      <c r="F31" s="530"/>
      <c r="G31" s="296">
        <v>2010501</v>
      </c>
      <c r="H31" s="296" t="s">
        <v>91</v>
      </c>
      <c r="I31" s="354">
        <v>377.14</v>
      </c>
      <c r="J31" s="296">
        <f>ROUND(I31,0)</f>
        <v>377</v>
      </c>
      <c r="K31" s="296">
        <f>VLOOKUP(G31,'[2]Sheet1 (2)'!$H:$I,2,0)</f>
        <v>377.14</v>
      </c>
      <c r="L31" s="354">
        <f t="shared" si="1"/>
        <v>-0.139999999999986</v>
      </c>
      <c r="M31" s="296">
        <v>2010501</v>
      </c>
      <c r="N31" s="296">
        <v>377.14</v>
      </c>
      <c r="O31" s="296">
        <v>2010602</v>
      </c>
      <c r="P31" s="296">
        <v>0</v>
      </c>
    </row>
    <row r="32" ht="20.1" customHeight="1" spans="1:16">
      <c r="A32" s="531" t="s">
        <v>93</v>
      </c>
      <c r="B32" s="532">
        <v>193</v>
      </c>
      <c r="C32" s="533">
        <v>404</v>
      </c>
      <c r="D32" s="528"/>
      <c r="E32" s="534"/>
      <c r="F32" s="530"/>
      <c r="G32" s="296">
        <v>2010502</v>
      </c>
      <c r="H32" s="296" t="s">
        <v>93</v>
      </c>
      <c r="I32" s="354">
        <v>404.38</v>
      </c>
      <c r="J32" s="296">
        <f>ROUND(I32,0)</f>
        <v>404</v>
      </c>
      <c r="K32" s="296">
        <f>VLOOKUP(G32,'[2]Sheet1 (2)'!$H:$I,2,0)</f>
        <v>404.38</v>
      </c>
      <c r="L32" s="354">
        <f t="shared" si="1"/>
        <v>-0.379999999999995</v>
      </c>
      <c r="M32" s="296">
        <v>2010502</v>
      </c>
      <c r="N32" s="296">
        <v>404.38</v>
      </c>
      <c r="O32" s="296">
        <v>2010605</v>
      </c>
      <c r="P32" s="296">
        <v>0</v>
      </c>
    </row>
    <row r="33" ht="20.1" customHeight="1" spans="1:16">
      <c r="A33" s="531" t="s">
        <v>137</v>
      </c>
      <c r="B33" s="140"/>
      <c r="C33" s="533"/>
      <c r="D33" s="528"/>
      <c r="E33" s="535">
        <v>8</v>
      </c>
      <c r="F33" s="530"/>
      <c r="G33" s="296">
        <v>2010507</v>
      </c>
      <c r="K33" s="296">
        <f>VLOOKUP(G33,'[2]Sheet1 (2)'!$H:$I,2,0)</f>
        <v>0</v>
      </c>
      <c r="L33" s="354">
        <f t="shared" si="1"/>
        <v>0</v>
      </c>
      <c r="M33" s="296">
        <v>2010507</v>
      </c>
      <c r="N33" s="296">
        <v>0</v>
      </c>
      <c r="O33" s="296">
        <v>2010607</v>
      </c>
      <c r="P33" s="296">
        <v>0</v>
      </c>
    </row>
    <row r="34" ht="20.1" customHeight="1" spans="1:16">
      <c r="A34" s="531" t="s">
        <v>101</v>
      </c>
      <c r="B34" s="532">
        <v>310</v>
      </c>
      <c r="C34" s="533">
        <v>331</v>
      </c>
      <c r="D34" s="528"/>
      <c r="E34" s="534"/>
      <c r="F34" s="530"/>
      <c r="G34" s="296">
        <v>2010550</v>
      </c>
      <c r="H34" s="296" t="s">
        <v>101</v>
      </c>
      <c r="I34" s="354">
        <v>330.6</v>
      </c>
      <c r="J34" s="296">
        <f>ROUND(I34,0)</f>
        <v>331</v>
      </c>
      <c r="K34" s="296">
        <f>VLOOKUP(G34,'[2]Sheet1 (2)'!$H:$I,2,0)</f>
        <v>330.6</v>
      </c>
      <c r="L34" s="354">
        <f t="shared" si="1"/>
        <v>0.399999999999977</v>
      </c>
      <c r="M34" s="296">
        <v>2010550</v>
      </c>
      <c r="N34" s="296">
        <v>330.6</v>
      </c>
      <c r="O34" s="296">
        <v>2010650</v>
      </c>
      <c r="P34" s="296">
        <v>0</v>
      </c>
    </row>
    <row r="35" ht="20.1" customHeight="1" spans="1:16">
      <c r="A35" s="525" t="s">
        <v>141</v>
      </c>
      <c r="B35" s="526">
        <f>SUM(B36:B40)</f>
        <v>2723</v>
      </c>
      <c r="C35" s="527">
        <f>SUM(C36:C41)</f>
        <v>2632</v>
      </c>
      <c r="D35" s="526"/>
      <c r="E35" s="529"/>
      <c r="F35" s="530"/>
      <c r="K35" s="296" t="e">
        <f>VLOOKUP(G35,'[2]Sheet1 (2)'!$H:$I,2,0)</f>
        <v>#N/A</v>
      </c>
      <c r="L35" s="354" t="e">
        <f t="shared" si="1"/>
        <v>#N/A</v>
      </c>
      <c r="O35" s="296">
        <v>2010699</v>
      </c>
      <c r="P35" s="296">
        <v>0</v>
      </c>
    </row>
    <row r="36" ht="20.1" customHeight="1" spans="1:16">
      <c r="A36" s="531" t="s">
        <v>91</v>
      </c>
      <c r="B36" s="532">
        <v>983</v>
      </c>
      <c r="C36" s="533">
        <v>1004</v>
      </c>
      <c r="D36" s="528"/>
      <c r="E36" s="534"/>
      <c r="F36" s="530"/>
      <c r="G36" s="296">
        <v>2010601</v>
      </c>
      <c r="H36" s="296" t="s">
        <v>91</v>
      </c>
      <c r="I36" s="354">
        <v>1004.14</v>
      </c>
      <c r="J36" s="296">
        <f>ROUND(I36,0)</f>
        <v>1004</v>
      </c>
      <c r="K36" s="296">
        <f>VLOOKUP(G36,'[2]Sheet1 (2)'!$H:$I,2,0)</f>
        <v>1004.14</v>
      </c>
      <c r="L36" s="354">
        <f t="shared" si="1"/>
        <v>-0.139999999999986</v>
      </c>
      <c r="M36" s="296">
        <v>2010601</v>
      </c>
      <c r="N36" s="296">
        <v>1004.14</v>
      </c>
      <c r="O36" s="296">
        <v>2010710</v>
      </c>
      <c r="P36" s="296">
        <v>0</v>
      </c>
    </row>
    <row r="37" ht="20.1" customHeight="1" spans="1:16">
      <c r="A37" s="531" t="s">
        <v>93</v>
      </c>
      <c r="B37" s="532">
        <v>314</v>
      </c>
      <c r="C37" s="533">
        <v>304</v>
      </c>
      <c r="D37" s="528"/>
      <c r="E37" s="534"/>
      <c r="F37" s="530"/>
      <c r="G37" s="296">
        <v>2010602</v>
      </c>
      <c r="H37" s="296" t="s">
        <v>93</v>
      </c>
      <c r="I37" s="354">
        <v>303.6</v>
      </c>
      <c r="J37" s="296">
        <f>ROUND(I37,0)</f>
        <v>304</v>
      </c>
      <c r="K37" s="296">
        <f>VLOOKUP(G37,'[2]Sheet1 (2)'!$H:$I,2,0)</f>
        <v>303.6</v>
      </c>
      <c r="L37" s="354">
        <f t="shared" si="1"/>
        <v>0.399999999999977</v>
      </c>
      <c r="M37" s="296">
        <v>2010602</v>
      </c>
      <c r="N37" s="296">
        <v>303.6</v>
      </c>
      <c r="O37" s="296">
        <v>2010801</v>
      </c>
      <c r="P37" s="296">
        <v>0</v>
      </c>
    </row>
    <row r="38" ht="20.1" customHeight="1" spans="1:16">
      <c r="A38" s="531" t="s">
        <v>144</v>
      </c>
      <c r="B38" s="532">
        <v>160</v>
      </c>
      <c r="C38" s="533">
        <v>110</v>
      </c>
      <c r="D38" s="528"/>
      <c r="E38" s="534"/>
      <c r="F38" s="530"/>
      <c r="G38" s="296">
        <v>2010605</v>
      </c>
      <c r="H38" s="296" t="s">
        <v>144</v>
      </c>
      <c r="I38" s="354">
        <v>110</v>
      </c>
      <c r="J38" s="296">
        <f>ROUND(I38,0)</f>
        <v>110</v>
      </c>
      <c r="K38" s="296">
        <f>VLOOKUP(G38,'[2]Sheet1 (2)'!$H:$I,2,0)</f>
        <v>110</v>
      </c>
      <c r="L38" s="354">
        <f t="shared" si="1"/>
        <v>0</v>
      </c>
      <c r="M38" s="296">
        <v>2010605</v>
      </c>
      <c r="N38" s="296">
        <v>110</v>
      </c>
      <c r="O38" s="296">
        <v>2010804</v>
      </c>
      <c r="P38" s="296">
        <v>0</v>
      </c>
    </row>
    <row r="39" ht="20.1" customHeight="1" spans="1:16">
      <c r="A39" s="531" t="s">
        <v>146</v>
      </c>
      <c r="B39" s="532">
        <v>65</v>
      </c>
      <c r="C39" s="533">
        <v>45</v>
      </c>
      <c r="D39" s="528"/>
      <c r="E39" s="534"/>
      <c r="F39" s="530"/>
      <c r="G39" s="296">
        <v>2010607</v>
      </c>
      <c r="H39" s="296" t="s">
        <v>146</v>
      </c>
      <c r="I39" s="354">
        <v>45</v>
      </c>
      <c r="J39" s="296">
        <f>ROUND(I39,0)</f>
        <v>45</v>
      </c>
      <c r="K39" s="296">
        <f>VLOOKUP(G39,'[2]Sheet1 (2)'!$H:$I,2,0)</f>
        <v>45</v>
      </c>
      <c r="L39" s="354">
        <f t="shared" si="1"/>
        <v>0</v>
      </c>
      <c r="M39" s="296">
        <v>2010607</v>
      </c>
      <c r="N39" s="296">
        <v>45</v>
      </c>
      <c r="O39" s="296">
        <v>2010850</v>
      </c>
      <c r="P39" s="296">
        <v>0</v>
      </c>
    </row>
    <row r="40" ht="20.1" customHeight="1" spans="1:16">
      <c r="A40" s="531" t="s">
        <v>101</v>
      </c>
      <c r="B40" s="532">
        <v>1201</v>
      </c>
      <c r="C40" s="533">
        <v>1109</v>
      </c>
      <c r="D40" s="528"/>
      <c r="E40" s="534"/>
      <c r="F40" s="530"/>
      <c r="G40" s="296">
        <v>2010650</v>
      </c>
      <c r="H40" s="296" t="s">
        <v>101</v>
      </c>
      <c r="I40" s="354">
        <v>1109.27</v>
      </c>
      <c r="J40" s="296">
        <f>ROUND(I40,0)</f>
        <v>1109</v>
      </c>
      <c r="K40" s="296">
        <f>VLOOKUP(G40,'[2]Sheet1 (2)'!$H:$I,2,0)</f>
        <v>1109.27</v>
      </c>
      <c r="L40" s="354">
        <f t="shared" si="1"/>
        <v>-0.269999999999982</v>
      </c>
      <c r="M40" s="296">
        <v>2010650</v>
      </c>
      <c r="N40" s="296">
        <v>1109.27</v>
      </c>
      <c r="O40" s="296">
        <v>2010899</v>
      </c>
      <c r="P40" s="296">
        <v>15.05</v>
      </c>
    </row>
    <row r="41" ht="20.1" customHeight="1" spans="1:16">
      <c r="A41" s="531" t="s">
        <v>954</v>
      </c>
      <c r="B41" s="532"/>
      <c r="C41" s="533">
        <v>60</v>
      </c>
      <c r="D41" s="528"/>
      <c r="E41" s="534"/>
      <c r="F41" s="530"/>
      <c r="G41" s="296">
        <v>2010699</v>
      </c>
      <c r="K41" s="296">
        <f>VLOOKUP(G41,'[2]Sheet1 (2)'!$H:$I,2,0)</f>
        <v>60</v>
      </c>
      <c r="L41" s="354">
        <f t="shared" si="1"/>
        <v>0</v>
      </c>
      <c r="M41" s="296">
        <v>2010699</v>
      </c>
      <c r="N41" s="296">
        <v>60</v>
      </c>
      <c r="O41" s="296">
        <v>2011101</v>
      </c>
      <c r="P41" s="296">
        <v>0</v>
      </c>
    </row>
    <row r="42" ht="20.1" customHeight="1" spans="1:16">
      <c r="A42" s="525" t="s">
        <v>151</v>
      </c>
      <c r="B42" s="526">
        <f>SUM(B43:B43)</f>
        <v>3700</v>
      </c>
      <c r="C42" s="527">
        <f>SUM(C43:C43)</f>
        <v>3700</v>
      </c>
      <c r="D42" s="526"/>
      <c r="E42" s="529"/>
      <c r="F42" s="530"/>
      <c r="K42" s="296" t="e">
        <f>VLOOKUP(G42,'[2]Sheet1 (2)'!$H:$I,2,0)</f>
        <v>#N/A</v>
      </c>
      <c r="L42" s="354" t="e">
        <f t="shared" si="1"/>
        <v>#N/A</v>
      </c>
      <c r="M42" s="296">
        <v>2010710</v>
      </c>
      <c r="N42" s="296">
        <v>3700</v>
      </c>
      <c r="O42" s="296">
        <v>2011102</v>
      </c>
      <c r="P42" s="296">
        <v>0</v>
      </c>
    </row>
    <row r="43" ht="20.1" customHeight="1" spans="1:16">
      <c r="A43" s="531" t="s">
        <v>152</v>
      </c>
      <c r="B43" s="532">
        <v>3700</v>
      </c>
      <c r="C43" s="533">
        <v>3700</v>
      </c>
      <c r="D43" s="528"/>
      <c r="E43" s="534"/>
      <c r="F43" s="530"/>
      <c r="G43" s="296">
        <v>2010710</v>
      </c>
      <c r="H43" s="296" t="s">
        <v>152</v>
      </c>
      <c r="I43" s="354">
        <v>3700</v>
      </c>
      <c r="J43" s="296">
        <f>ROUND(I43,0)</f>
        <v>3700</v>
      </c>
      <c r="K43" s="296">
        <f>VLOOKUP(G43,'[2]Sheet1 (2)'!$H:$I,2,0)</f>
        <v>3700</v>
      </c>
      <c r="L43" s="354">
        <f t="shared" si="1"/>
        <v>0</v>
      </c>
      <c r="M43" s="296">
        <v>2010801</v>
      </c>
      <c r="N43" s="296">
        <v>395.37</v>
      </c>
      <c r="O43" s="296">
        <v>2011150</v>
      </c>
      <c r="P43" s="296">
        <v>0</v>
      </c>
    </row>
    <row r="44" ht="20.1" customHeight="1" spans="1:16">
      <c r="A44" s="525" t="s">
        <v>154</v>
      </c>
      <c r="B44" s="526">
        <f>SUM(B45:B48)</f>
        <v>867</v>
      </c>
      <c r="C44" s="527">
        <f>SUM(C45:C48)</f>
        <v>824</v>
      </c>
      <c r="D44" s="526">
        <f t="shared" ref="D44:E44" si="3">SUM(D45:D48)</f>
        <v>0</v>
      </c>
      <c r="E44" s="527">
        <f t="shared" si="3"/>
        <v>15</v>
      </c>
      <c r="F44" s="530"/>
      <c r="K44" s="296" t="e">
        <f>VLOOKUP(G44,'[2]Sheet1 (2)'!$H:$I,2,0)</f>
        <v>#N/A</v>
      </c>
      <c r="L44" s="354" t="e">
        <f t="shared" si="1"/>
        <v>#N/A</v>
      </c>
      <c r="M44" s="296">
        <v>2010804</v>
      </c>
      <c r="N44" s="296">
        <v>71.41</v>
      </c>
      <c r="O44" s="296">
        <v>2011301</v>
      </c>
      <c r="P44" s="296">
        <v>0</v>
      </c>
    </row>
    <row r="45" ht="20.1" customHeight="1" spans="1:16">
      <c r="A45" s="531" t="s">
        <v>91</v>
      </c>
      <c r="B45" s="532">
        <v>422</v>
      </c>
      <c r="C45" s="533">
        <v>395</v>
      </c>
      <c r="D45" s="528"/>
      <c r="E45" s="534"/>
      <c r="F45" s="530"/>
      <c r="G45" s="296">
        <v>2010801</v>
      </c>
      <c r="H45" s="296" t="s">
        <v>91</v>
      </c>
      <c r="I45" s="354">
        <v>395.37</v>
      </c>
      <c r="J45" s="296">
        <f>ROUND(I45,0)</f>
        <v>395</v>
      </c>
      <c r="K45" s="296">
        <f>VLOOKUP(G45,'[2]Sheet1 (2)'!$H:$I,2,0)</f>
        <v>395.37</v>
      </c>
      <c r="L45" s="354">
        <f t="shared" si="1"/>
        <v>-0.370000000000005</v>
      </c>
      <c r="M45" s="296">
        <v>2010850</v>
      </c>
      <c r="N45" s="296">
        <v>357.65</v>
      </c>
      <c r="O45" s="296">
        <v>2011302</v>
      </c>
      <c r="P45" s="296">
        <v>0</v>
      </c>
    </row>
    <row r="46" ht="20.1" customHeight="1" spans="1:16">
      <c r="A46" s="531" t="s">
        <v>157</v>
      </c>
      <c r="B46" s="532">
        <v>100</v>
      </c>
      <c r="C46" s="533">
        <v>71</v>
      </c>
      <c r="D46" s="528"/>
      <c r="E46" s="534"/>
      <c r="F46" s="530"/>
      <c r="G46" s="296">
        <v>2010804</v>
      </c>
      <c r="H46" s="296" t="s">
        <v>157</v>
      </c>
      <c r="I46" s="354">
        <v>71.41</v>
      </c>
      <c r="J46" s="296">
        <f>ROUND(I46,0)</f>
        <v>71</v>
      </c>
      <c r="K46" s="296">
        <f>VLOOKUP(G46,'[2]Sheet1 (2)'!$H:$I,2,0)</f>
        <v>71.41</v>
      </c>
      <c r="L46" s="354">
        <f t="shared" si="1"/>
        <v>-0.409999999999997</v>
      </c>
      <c r="M46" s="296">
        <v>2010899</v>
      </c>
      <c r="N46" s="296">
        <v>0</v>
      </c>
      <c r="O46" s="296">
        <v>2011350</v>
      </c>
      <c r="P46" s="296">
        <v>0</v>
      </c>
    </row>
    <row r="47" ht="20.1" customHeight="1" spans="1:16">
      <c r="A47" s="531" t="s">
        <v>101</v>
      </c>
      <c r="B47" s="532">
        <v>345</v>
      </c>
      <c r="C47" s="533">
        <v>358</v>
      </c>
      <c r="D47" s="528"/>
      <c r="E47" s="535"/>
      <c r="F47" s="530"/>
      <c r="G47" s="296">
        <v>2010850</v>
      </c>
      <c r="H47" s="296" t="s">
        <v>101</v>
      </c>
      <c r="I47" s="354">
        <v>357.65</v>
      </c>
      <c r="J47" s="296">
        <f>ROUND(I47,0)</f>
        <v>358</v>
      </c>
      <c r="K47" s="296">
        <f>VLOOKUP(G47,'[2]Sheet1 (2)'!$H:$I,2,0)</f>
        <v>357.65</v>
      </c>
      <c r="L47" s="354">
        <f t="shared" si="1"/>
        <v>0.350000000000023</v>
      </c>
      <c r="M47" s="296">
        <v>2011101</v>
      </c>
      <c r="N47" s="296">
        <v>2551.96</v>
      </c>
      <c r="O47" s="296">
        <v>2012501</v>
      </c>
      <c r="P47" s="296">
        <v>0</v>
      </c>
    </row>
    <row r="48" ht="20.1" customHeight="1" spans="1:16">
      <c r="A48" s="531" t="s">
        <v>160</v>
      </c>
      <c r="B48" s="532"/>
      <c r="C48" s="533"/>
      <c r="D48" s="528"/>
      <c r="E48" s="533">
        <v>15</v>
      </c>
      <c r="F48" s="530"/>
      <c r="G48" s="296">
        <v>2010899</v>
      </c>
      <c r="K48" s="296">
        <f>VLOOKUP(G48,'[2]Sheet1 (2)'!$H:$I,2,0)</f>
        <v>0</v>
      </c>
      <c r="L48" s="354">
        <f t="shared" si="1"/>
        <v>0</v>
      </c>
      <c r="M48" s="296">
        <v>2011102</v>
      </c>
      <c r="N48" s="296">
        <v>642.14</v>
      </c>
      <c r="O48" s="296">
        <v>2012505</v>
      </c>
      <c r="P48" s="296">
        <v>0</v>
      </c>
    </row>
    <row r="49" ht="20.1" customHeight="1" spans="1:16">
      <c r="A49" s="525" t="s">
        <v>162</v>
      </c>
      <c r="B49" s="526">
        <f>SUM(B50:B52)</f>
        <v>4182</v>
      </c>
      <c r="C49" s="527">
        <f>SUM(C50:C52)</f>
        <v>3981</v>
      </c>
      <c r="D49" s="526"/>
      <c r="E49" s="529"/>
      <c r="F49" s="530"/>
      <c r="K49" s="296" t="e">
        <f>VLOOKUP(G49,'[2]Sheet1 (2)'!$H:$I,2,0)</f>
        <v>#N/A</v>
      </c>
      <c r="L49" s="354" t="e">
        <f t="shared" si="1"/>
        <v>#N/A</v>
      </c>
      <c r="M49" s="296">
        <v>2011150</v>
      </c>
      <c r="N49" s="296">
        <v>786.85</v>
      </c>
      <c r="O49" s="296">
        <v>2012550</v>
      </c>
      <c r="P49" s="296">
        <v>0</v>
      </c>
    </row>
    <row r="50" ht="20.1" customHeight="1" spans="1:16">
      <c r="A50" s="531" t="s">
        <v>91</v>
      </c>
      <c r="B50" s="532">
        <v>2557</v>
      </c>
      <c r="C50" s="533">
        <v>2552</v>
      </c>
      <c r="D50" s="528"/>
      <c r="E50" s="534"/>
      <c r="F50" s="530"/>
      <c r="G50" s="296">
        <v>2011101</v>
      </c>
      <c r="H50" s="296" t="s">
        <v>91</v>
      </c>
      <c r="I50" s="354">
        <v>2551.96</v>
      </c>
      <c r="J50" s="296">
        <f>ROUND(I50,0)</f>
        <v>2552</v>
      </c>
      <c r="K50" s="296">
        <f>VLOOKUP(G50,'[2]Sheet1 (2)'!$H:$I,2,0)</f>
        <v>2551.96</v>
      </c>
      <c r="L50" s="354">
        <f t="shared" si="1"/>
        <v>0.0399999999999636</v>
      </c>
      <c r="M50" s="296">
        <v>2011301</v>
      </c>
      <c r="N50" s="296">
        <v>348.82</v>
      </c>
      <c r="O50" s="296">
        <v>2012601</v>
      </c>
      <c r="P50" s="296">
        <v>0</v>
      </c>
    </row>
    <row r="51" ht="20.1" customHeight="1" spans="1:16">
      <c r="A51" s="531" t="s">
        <v>93</v>
      </c>
      <c r="B51" s="532">
        <v>769</v>
      </c>
      <c r="C51" s="533">
        <v>642</v>
      </c>
      <c r="D51" s="528"/>
      <c r="E51" s="534"/>
      <c r="F51" s="530"/>
      <c r="G51" s="296">
        <v>2011102</v>
      </c>
      <c r="H51" s="296" t="s">
        <v>93</v>
      </c>
      <c r="I51" s="354">
        <v>642.14</v>
      </c>
      <c r="J51" s="296">
        <f>ROUND(I51,0)</f>
        <v>642</v>
      </c>
      <c r="K51" s="296">
        <f>VLOOKUP(G51,'[2]Sheet1 (2)'!$H:$I,2,0)</f>
        <v>642.14</v>
      </c>
      <c r="L51" s="354">
        <f t="shared" si="1"/>
        <v>-0.139999999999986</v>
      </c>
      <c r="M51" s="296">
        <v>2011302</v>
      </c>
      <c r="N51" s="296">
        <v>261.315</v>
      </c>
      <c r="O51" s="296">
        <v>2012604</v>
      </c>
      <c r="P51" s="296">
        <v>0</v>
      </c>
    </row>
    <row r="52" ht="20.1" customHeight="1" spans="1:16">
      <c r="A52" s="531" t="s">
        <v>101</v>
      </c>
      <c r="B52" s="532">
        <v>856</v>
      </c>
      <c r="C52" s="533">
        <v>787</v>
      </c>
      <c r="D52" s="528"/>
      <c r="E52" s="534"/>
      <c r="F52" s="530"/>
      <c r="G52" s="296">
        <v>2011150</v>
      </c>
      <c r="H52" s="296" t="s">
        <v>101</v>
      </c>
      <c r="I52" s="354">
        <v>786.85</v>
      </c>
      <c r="J52" s="296">
        <f>ROUND(I52,0)</f>
        <v>787</v>
      </c>
      <c r="K52" s="296">
        <f>VLOOKUP(G52,'[2]Sheet1 (2)'!$H:$I,2,0)</f>
        <v>786.85</v>
      </c>
      <c r="L52" s="354">
        <f t="shared" si="1"/>
        <v>0.149999999999977</v>
      </c>
      <c r="M52" s="296">
        <v>2011350</v>
      </c>
      <c r="N52" s="296">
        <v>283.38</v>
      </c>
      <c r="O52" s="296">
        <v>2012801</v>
      </c>
      <c r="P52" s="296">
        <v>0</v>
      </c>
    </row>
    <row r="53" ht="20.1" customHeight="1" spans="1:16">
      <c r="A53" s="525" t="s">
        <v>955</v>
      </c>
      <c r="B53" s="526">
        <f>SUM(B54:B57)</f>
        <v>705</v>
      </c>
      <c r="C53" s="527">
        <f>SUM(C54:C57)</f>
        <v>893</v>
      </c>
      <c r="D53" s="526"/>
      <c r="E53" s="529"/>
      <c r="F53" s="530"/>
      <c r="K53" s="296" t="e">
        <f>VLOOKUP(G53,'[2]Sheet1 (2)'!$H:$I,2,0)</f>
        <v>#N/A</v>
      </c>
      <c r="L53" s="354" t="e">
        <f t="shared" si="1"/>
        <v>#N/A</v>
      </c>
      <c r="M53" s="296">
        <v>2012501</v>
      </c>
      <c r="N53" s="296">
        <v>175.18</v>
      </c>
      <c r="O53" s="296">
        <v>2012802</v>
      </c>
      <c r="P53" s="296">
        <v>0</v>
      </c>
    </row>
    <row r="54" ht="20.1" customHeight="1" spans="1:16">
      <c r="A54" s="531" t="s">
        <v>91</v>
      </c>
      <c r="B54" s="532">
        <v>345</v>
      </c>
      <c r="C54" s="533">
        <v>349</v>
      </c>
      <c r="D54" s="528"/>
      <c r="E54" s="534"/>
      <c r="F54" s="530"/>
      <c r="G54" s="296">
        <v>2011301</v>
      </c>
      <c r="H54" s="296" t="s">
        <v>91</v>
      </c>
      <c r="I54" s="354">
        <v>348.82</v>
      </c>
      <c r="J54" s="296">
        <f>ROUND(I54,0)</f>
        <v>349</v>
      </c>
      <c r="K54" s="296">
        <f>VLOOKUP(G54,'[2]Sheet1 (2)'!$H:$I,2,0)</f>
        <v>348.82</v>
      </c>
      <c r="L54" s="354">
        <f t="shared" si="1"/>
        <v>0.180000000000007</v>
      </c>
      <c r="M54" s="296">
        <v>2012505</v>
      </c>
      <c r="N54" s="296">
        <v>27.95</v>
      </c>
      <c r="O54" s="296">
        <v>2012901</v>
      </c>
      <c r="P54" s="296">
        <v>0</v>
      </c>
    </row>
    <row r="55" ht="20.1" customHeight="1" spans="1:14">
      <c r="A55" s="531" t="s">
        <v>93</v>
      </c>
      <c r="B55" s="532">
        <v>55</v>
      </c>
      <c r="C55" s="533">
        <v>261</v>
      </c>
      <c r="D55" s="528"/>
      <c r="E55" s="534"/>
      <c r="F55" s="530"/>
      <c r="G55" s="296">
        <v>2011302</v>
      </c>
      <c r="H55" s="296" t="s">
        <v>93</v>
      </c>
      <c r="I55" s="354">
        <v>261.315</v>
      </c>
      <c r="J55" s="296">
        <f>ROUND(I55,0)</f>
        <v>261</v>
      </c>
      <c r="K55" s="296">
        <f>VLOOKUP(G55,'[2]Sheet1 (2)'!$H:$I,2,0)</f>
        <v>261.315</v>
      </c>
      <c r="L55" s="354">
        <f t="shared" si="1"/>
        <v>-0.314999999999998</v>
      </c>
      <c r="M55" s="296">
        <v>2012550</v>
      </c>
      <c r="N55" s="296">
        <v>50.6</v>
      </c>
    </row>
    <row r="56" ht="20.1" customHeight="1" spans="1:14">
      <c r="A56" s="531" t="s">
        <v>101</v>
      </c>
      <c r="B56" s="532">
        <v>283</v>
      </c>
      <c r="C56" s="533">
        <v>283</v>
      </c>
      <c r="D56" s="528"/>
      <c r="E56" s="534"/>
      <c r="F56" s="530"/>
      <c r="G56" s="296">
        <v>2011350</v>
      </c>
      <c r="H56" s="296" t="s">
        <v>101</v>
      </c>
      <c r="I56" s="354">
        <v>283.38</v>
      </c>
      <c r="J56" s="296">
        <f>ROUND(I56,0)</f>
        <v>283</v>
      </c>
      <c r="K56" s="296">
        <f>VLOOKUP(G56,'[2]Sheet1 (2)'!$H:$I,2,0)</f>
        <v>283.38</v>
      </c>
      <c r="L56" s="354">
        <f t="shared" si="1"/>
        <v>-0.379999999999995</v>
      </c>
      <c r="M56" s="296">
        <v>2012601</v>
      </c>
      <c r="N56" s="296">
        <v>273.57</v>
      </c>
    </row>
    <row r="57" ht="20.1" customHeight="1" spans="1:14">
      <c r="A57" s="531" t="s">
        <v>172</v>
      </c>
      <c r="B57" s="532">
        <v>22</v>
      </c>
      <c r="C57" s="533"/>
      <c r="D57" s="528"/>
      <c r="E57" s="534"/>
      <c r="F57" s="530"/>
      <c r="G57" s="296">
        <v>2011399</v>
      </c>
      <c r="K57" s="296" t="e">
        <f>VLOOKUP(G57,'[2]Sheet1 (2)'!$H:$I,2,0)</f>
        <v>#N/A</v>
      </c>
      <c r="L57" s="354" t="e">
        <f t="shared" si="1"/>
        <v>#N/A</v>
      </c>
      <c r="M57" s="296">
        <v>2012604</v>
      </c>
      <c r="N57" s="296">
        <v>22.65</v>
      </c>
    </row>
    <row r="58" ht="20.1" customHeight="1" spans="1:14">
      <c r="A58" s="525" t="s">
        <v>174</v>
      </c>
      <c r="B58" s="526">
        <f>SUM(B59:B61)</f>
        <v>298</v>
      </c>
      <c r="C58" s="527">
        <f>SUM(C59:C61)</f>
        <v>254</v>
      </c>
      <c r="D58" s="526"/>
      <c r="E58" s="529"/>
      <c r="F58" s="530"/>
      <c r="K58" s="296" t="e">
        <f>VLOOKUP(G58,'[2]Sheet1 (2)'!$H:$I,2,0)</f>
        <v>#N/A</v>
      </c>
      <c r="L58" s="354" t="e">
        <f t="shared" si="1"/>
        <v>#N/A</v>
      </c>
      <c r="M58" s="296">
        <v>2012801</v>
      </c>
      <c r="N58" s="296">
        <v>276.32</v>
      </c>
    </row>
    <row r="59" ht="20.1" customHeight="1" spans="1:14">
      <c r="A59" s="531" t="s">
        <v>91</v>
      </c>
      <c r="B59" s="532">
        <v>211</v>
      </c>
      <c r="C59" s="533">
        <v>175</v>
      </c>
      <c r="D59" s="528"/>
      <c r="E59" s="534"/>
      <c r="F59" s="530"/>
      <c r="G59" s="296">
        <v>2012501</v>
      </c>
      <c r="H59" s="296" t="s">
        <v>91</v>
      </c>
      <c r="I59" s="354">
        <v>175.18</v>
      </c>
      <c r="J59" s="296">
        <f>ROUND(I59,0)</f>
        <v>175</v>
      </c>
      <c r="K59" s="296">
        <f>VLOOKUP(G59,'[2]Sheet1 (2)'!$H:$I,2,0)</f>
        <v>175.18</v>
      </c>
      <c r="L59" s="354">
        <f t="shared" si="1"/>
        <v>-0.180000000000007</v>
      </c>
      <c r="M59" s="296">
        <v>2012802</v>
      </c>
      <c r="N59" s="296">
        <v>91.32</v>
      </c>
    </row>
    <row r="60" ht="20.1" customHeight="1" spans="1:14">
      <c r="A60" s="531" t="s">
        <v>176</v>
      </c>
      <c r="B60" s="532">
        <v>35</v>
      </c>
      <c r="C60" s="533">
        <v>28</v>
      </c>
      <c r="D60" s="528"/>
      <c r="E60" s="535"/>
      <c r="F60" s="530"/>
      <c r="G60" s="296">
        <v>2012505</v>
      </c>
      <c r="H60" s="296" t="s">
        <v>176</v>
      </c>
      <c r="I60" s="354">
        <v>27.95</v>
      </c>
      <c r="J60" s="296">
        <f>ROUND(I60,0)</f>
        <v>28</v>
      </c>
      <c r="K60" s="296">
        <f>VLOOKUP(G60,'[2]Sheet1 (2)'!$H:$I,2,0)</f>
        <v>27.95</v>
      </c>
      <c r="L60" s="354">
        <f t="shared" si="1"/>
        <v>0.0500000000000007</v>
      </c>
      <c r="M60" s="296">
        <v>2012901</v>
      </c>
      <c r="N60" s="296">
        <v>760.43</v>
      </c>
    </row>
    <row r="61" ht="20.1" customHeight="1" spans="1:14">
      <c r="A61" s="531" t="s">
        <v>101</v>
      </c>
      <c r="B61" s="532">
        <v>52</v>
      </c>
      <c r="C61" s="533">
        <v>51</v>
      </c>
      <c r="D61" s="528"/>
      <c r="E61" s="535"/>
      <c r="F61" s="530"/>
      <c r="G61" s="296">
        <v>2012550</v>
      </c>
      <c r="H61" s="296" t="s">
        <v>101</v>
      </c>
      <c r="I61" s="354">
        <v>50.6</v>
      </c>
      <c r="J61" s="296">
        <f>ROUND(I61,0)</f>
        <v>51</v>
      </c>
      <c r="K61" s="296">
        <f>VLOOKUP(G61,'[2]Sheet1 (2)'!$H:$I,2,0)</f>
        <v>50.6</v>
      </c>
      <c r="L61" s="354">
        <f t="shared" si="1"/>
        <v>0.399999999999999</v>
      </c>
      <c r="M61" s="296">
        <v>2012902</v>
      </c>
      <c r="N61" s="296">
        <v>698.67</v>
      </c>
    </row>
    <row r="62" ht="20.1" customHeight="1" spans="1:14">
      <c r="A62" s="525" t="s">
        <v>179</v>
      </c>
      <c r="B62" s="526">
        <f>SUM(B63:B64)</f>
        <v>291</v>
      </c>
      <c r="C62" s="527">
        <f>SUM(C63:C64)</f>
        <v>297</v>
      </c>
      <c r="D62" s="526"/>
      <c r="E62" s="529"/>
      <c r="F62" s="530"/>
      <c r="K62" s="296" t="e">
        <f>VLOOKUP(G62,'[2]Sheet1 (2)'!$H:$I,2,0)</f>
        <v>#N/A</v>
      </c>
      <c r="L62" s="354" t="e">
        <f t="shared" si="1"/>
        <v>#N/A</v>
      </c>
      <c r="M62" s="296">
        <v>2012950</v>
      </c>
      <c r="N62" s="296">
        <v>349.79</v>
      </c>
    </row>
    <row r="63" ht="20.1" customHeight="1" spans="1:14">
      <c r="A63" s="531" t="s">
        <v>91</v>
      </c>
      <c r="B63" s="532">
        <v>271</v>
      </c>
      <c r="C63" s="533">
        <v>274</v>
      </c>
      <c r="D63" s="528"/>
      <c r="E63" s="534"/>
      <c r="F63" s="530"/>
      <c r="G63" s="296">
        <v>2012601</v>
      </c>
      <c r="H63" s="296" t="s">
        <v>91</v>
      </c>
      <c r="I63" s="354">
        <v>273.57</v>
      </c>
      <c r="J63" s="296">
        <f>ROUND(I63,0)</f>
        <v>274</v>
      </c>
      <c r="K63" s="296">
        <f>VLOOKUP(G63,'[2]Sheet1 (2)'!$H:$I,2,0)</f>
        <v>273.57</v>
      </c>
      <c r="L63" s="354">
        <f t="shared" si="1"/>
        <v>0.430000000000007</v>
      </c>
      <c r="M63" s="296">
        <v>2012999</v>
      </c>
      <c r="N63" s="296">
        <v>0</v>
      </c>
    </row>
    <row r="64" ht="20.1" customHeight="1" spans="1:14">
      <c r="A64" s="531" t="s">
        <v>182</v>
      </c>
      <c r="B64" s="532">
        <v>20</v>
      </c>
      <c r="C64" s="533">
        <v>23</v>
      </c>
      <c r="D64" s="528"/>
      <c r="E64" s="535"/>
      <c r="F64" s="530"/>
      <c r="G64" s="296">
        <v>2012604</v>
      </c>
      <c r="H64" s="296" t="s">
        <v>182</v>
      </c>
      <c r="I64" s="354">
        <v>22.65</v>
      </c>
      <c r="J64" s="296">
        <f>ROUND(I64,0)</f>
        <v>23</v>
      </c>
      <c r="K64" s="296">
        <f>VLOOKUP(G64,'[2]Sheet1 (2)'!$H:$I,2,0)</f>
        <v>22.65</v>
      </c>
      <c r="L64" s="354">
        <f t="shared" si="1"/>
        <v>0.350000000000001</v>
      </c>
      <c r="M64" s="296">
        <v>2013101</v>
      </c>
      <c r="N64" s="296">
        <v>1721.26</v>
      </c>
    </row>
    <row r="65" ht="20.1" customHeight="1" spans="1:14">
      <c r="A65" s="525" t="s">
        <v>956</v>
      </c>
      <c r="B65" s="526">
        <f>SUM(B66:B67)</f>
        <v>360</v>
      </c>
      <c r="C65" s="527">
        <f>SUM(C66:C67)</f>
        <v>367</v>
      </c>
      <c r="D65" s="526"/>
      <c r="E65" s="529"/>
      <c r="F65" s="530"/>
      <c r="K65" s="296" t="e">
        <f>VLOOKUP(G65,'[2]Sheet1 (2)'!$H:$I,2,0)</f>
        <v>#N/A</v>
      </c>
      <c r="L65" s="354" t="e">
        <f t="shared" si="1"/>
        <v>#N/A</v>
      </c>
      <c r="M65" s="296">
        <v>2013102</v>
      </c>
      <c r="N65" s="296">
        <v>1647.04</v>
      </c>
    </row>
    <row r="66" ht="20.1" customHeight="1" spans="1:14">
      <c r="A66" s="531" t="s">
        <v>91</v>
      </c>
      <c r="B66" s="532">
        <v>250</v>
      </c>
      <c r="C66" s="533">
        <v>276</v>
      </c>
      <c r="D66" s="528"/>
      <c r="E66" s="534"/>
      <c r="F66" s="530"/>
      <c r="G66" s="296">
        <v>2012801</v>
      </c>
      <c r="H66" s="296" t="s">
        <v>91</v>
      </c>
      <c r="I66" s="354">
        <v>276.32</v>
      </c>
      <c r="J66" s="296">
        <f>ROUND(I66,0)</f>
        <v>276</v>
      </c>
      <c r="K66" s="296">
        <f>VLOOKUP(G66,'[2]Sheet1 (2)'!$H:$I,2,0)</f>
        <v>276.32</v>
      </c>
      <c r="L66" s="354">
        <f t="shared" si="1"/>
        <v>-0.319999999999993</v>
      </c>
      <c r="M66" s="296">
        <v>2013150</v>
      </c>
      <c r="N66" s="296">
        <v>331.37</v>
      </c>
    </row>
    <row r="67" ht="20.1" customHeight="1" spans="1:14">
      <c r="A67" s="531" t="s">
        <v>93</v>
      </c>
      <c r="B67" s="532">
        <v>110</v>
      </c>
      <c r="C67" s="533">
        <v>91</v>
      </c>
      <c r="D67" s="528"/>
      <c r="E67" s="534"/>
      <c r="F67" s="530"/>
      <c r="G67" s="296">
        <v>2012802</v>
      </c>
      <c r="H67" s="296" t="s">
        <v>93</v>
      </c>
      <c r="I67" s="354">
        <v>91.32</v>
      </c>
      <c r="J67" s="296">
        <f>ROUND(I67,0)</f>
        <v>91</v>
      </c>
      <c r="K67" s="296">
        <f>VLOOKUP(G67,'[2]Sheet1 (2)'!$H:$I,2,0)</f>
        <v>91.32</v>
      </c>
      <c r="L67" s="354">
        <f t="shared" si="1"/>
        <v>-0.319999999999993</v>
      </c>
      <c r="M67" s="296">
        <v>2013201</v>
      </c>
      <c r="N67" s="296">
        <v>804.59</v>
      </c>
    </row>
    <row r="68" ht="20.1" customHeight="1" spans="1:14">
      <c r="A68" s="525" t="s">
        <v>187</v>
      </c>
      <c r="B68" s="526">
        <f>SUM(B69:B71)</f>
        <v>1890</v>
      </c>
      <c r="C68" s="527">
        <f>SUM(C69:C71)</f>
        <v>1809</v>
      </c>
      <c r="D68" s="526">
        <f t="shared" ref="D68" si="4">SUM(D69:D71)</f>
        <v>0</v>
      </c>
      <c r="E68" s="527">
        <f>SUM(E69:E72)</f>
        <v>38</v>
      </c>
      <c r="F68" s="530"/>
      <c r="K68" s="296" t="e">
        <f>VLOOKUP(G68,'[2]Sheet1 (2)'!$H:$I,2,0)</f>
        <v>#N/A</v>
      </c>
      <c r="L68" s="354" t="e">
        <f t="shared" si="1"/>
        <v>#N/A</v>
      </c>
      <c r="M68" s="296">
        <v>2013202</v>
      </c>
      <c r="N68" s="296">
        <v>463.37</v>
      </c>
    </row>
    <row r="69" ht="20.1" customHeight="1" spans="1:14">
      <c r="A69" s="531" t="s">
        <v>91</v>
      </c>
      <c r="B69" s="532">
        <v>697</v>
      </c>
      <c r="C69" s="533">
        <v>760</v>
      </c>
      <c r="D69" s="528"/>
      <c r="E69" s="534"/>
      <c r="F69" s="530"/>
      <c r="G69" s="296">
        <v>2012901</v>
      </c>
      <c r="H69" s="296" t="s">
        <v>91</v>
      </c>
      <c r="I69" s="354">
        <v>760.43</v>
      </c>
      <c r="J69" s="296">
        <f>ROUND(I69,0)</f>
        <v>760</v>
      </c>
      <c r="K69" s="296">
        <f>VLOOKUP(G69,'[2]Sheet1 (2)'!$H:$I,2,0)</f>
        <v>760.43</v>
      </c>
      <c r="L69" s="354">
        <f t="shared" si="1"/>
        <v>-0.42999999999995</v>
      </c>
      <c r="M69" s="296">
        <v>2013250</v>
      </c>
      <c r="N69" s="296">
        <v>86.11</v>
      </c>
    </row>
    <row r="70" ht="20.1" customHeight="1" spans="1:16">
      <c r="A70" s="531" t="s">
        <v>93</v>
      </c>
      <c r="B70" s="532">
        <v>797</v>
      </c>
      <c r="C70" s="533">
        <v>699</v>
      </c>
      <c r="D70" s="528"/>
      <c r="E70" s="533">
        <v>25</v>
      </c>
      <c r="F70" s="530"/>
      <c r="G70" s="296">
        <v>2012902</v>
      </c>
      <c r="H70" s="296" t="s">
        <v>93</v>
      </c>
      <c r="I70" s="354">
        <v>648.67</v>
      </c>
      <c r="J70" s="296">
        <f>ROUND(I70,0)</f>
        <v>649</v>
      </c>
      <c r="K70" s="296">
        <f>VLOOKUP(G70,'[2]Sheet1 (2)'!$H:$I,2,0)</f>
        <v>698.67</v>
      </c>
      <c r="L70" s="354">
        <f t="shared" si="1"/>
        <v>0.330000000000041</v>
      </c>
      <c r="M70" s="296">
        <v>2013301</v>
      </c>
      <c r="N70" s="296">
        <v>599.1</v>
      </c>
      <c r="O70" s="296">
        <v>2012902</v>
      </c>
      <c r="P70" s="296">
        <v>25</v>
      </c>
    </row>
    <row r="71" ht="20.1" customHeight="1" spans="1:16">
      <c r="A71" s="531" t="s">
        <v>101</v>
      </c>
      <c r="B71" s="532">
        <v>396</v>
      </c>
      <c r="C71" s="533">
        <v>350</v>
      </c>
      <c r="D71" s="528"/>
      <c r="E71" s="534"/>
      <c r="F71" s="530"/>
      <c r="G71" s="296">
        <v>2012950</v>
      </c>
      <c r="H71" s="296" t="s">
        <v>101</v>
      </c>
      <c r="I71" s="354">
        <v>349.79</v>
      </c>
      <c r="J71" s="296">
        <f>ROUND(I71,0)</f>
        <v>350</v>
      </c>
      <c r="K71" s="296">
        <f>VLOOKUP(G71,'[2]Sheet1 (2)'!$H:$I,2,0)</f>
        <v>349.79</v>
      </c>
      <c r="L71" s="354">
        <f t="shared" si="1"/>
        <v>0.20999999999998</v>
      </c>
      <c r="M71" s="296">
        <v>2013302</v>
      </c>
      <c r="N71" s="296">
        <v>410.23</v>
      </c>
      <c r="O71" s="296">
        <v>2012950</v>
      </c>
      <c r="P71" s="296">
        <v>0</v>
      </c>
    </row>
    <row r="72" ht="20.1" customHeight="1" spans="1:16">
      <c r="A72" s="531" t="s">
        <v>957</v>
      </c>
      <c r="B72" s="532"/>
      <c r="C72" s="533"/>
      <c r="D72" s="528"/>
      <c r="E72" s="533">
        <v>13</v>
      </c>
      <c r="F72" s="530"/>
      <c r="K72" s="296" t="e">
        <f>VLOOKUP(G72,'[2]Sheet1 (2)'!$H:$I,2,0)</f>
        <v>#N/A</v>
      </c>
      <c r="L72" s="354" t="e">
        <f t="shared" si="1"/>
        <v>#N/A</v>
      </c>
      <c r="M72" s="296">
        <v>2013350</v>
      </c>
      <c r="N72" s="296">
        <v>205.71</v>
      </c>
      <c r="O72" s="296">
        <v>2012999</v>
      </c>
      <c r="P72" s="296">
        <v>12.95</v>
      </c>
    </row>
    <row r="73" ht="20.1" customHeight="1" spans="1:16">
      <c r="A73" s="525" t="s">
        <v>191</v>
      </c>
      <c r="B73" s="526">
        <f>SUM(B74:B76)</f>
        <v>4080</v>
      </c>
      <c r="C73" s="527">
        <f>SUM(C74:C76)</f>
        <v>3699</v>
      </c>
      <c r="D73" s="526"/>
      <c r="E73" s="527">
        <f>SUM(E74:E76)</f>
        <v>210</v>
      </c>
      <c r="F73" s="530"/>
      <c r="K73" s="296" t="e">
        <f>VLOOKUP(G73,'[2]Sheet1 (2)'!$H:$I,2,0)</f>
        <v>#N/A</v>
      </c>
      <c r="L73" s="354" t="e">
        <f t="shared" ref="L73:L138" si="5">C73-K73</f>
        <v>#N/A</v>
      </c>
      <c r="M73" s="296">
        <v>2013401</v>
      </c>
      <c r="N73" s="296">
        <v>505.73</v>
      </c>
      <c r="O73" s="296">
        <v>2013101</v>
      </c>
      <c r="P73" s="296">
        <v>0</v>
      </c>
    </row>
    <row r="74" ht="20.1" customHeight="1" spans="1:16">
      <c r="A74" s="531" t="s">
        <v>91</v>
      </c>
      <c r="B74" s="532">
        <v>1725</v>
      </c>
      <c r="C74" s="533">
        <v>1721</v>
      </c>
      <c r="D74" s="528"/>
      <c r="E74" s="534"/>
      <c r="F74" s="530"/>
      <c r="G74" s="296">
        <v>2013101</v>
      </c>
      <c r="H74" s="296" t="s">
        <v>91</v>
      </c>
      <c r="I74" s="354">
        <v>1721.26</v>
      </c>
      <c r="J74" s="296">
        <f>ROUND(I74,0)</f>
        <v>1721</v>
      </c>
      <c r="K74" s="296">
        <f>VLOOKUP(G74,'[2]Sheet1 (2)'!$H:$I,2,0)</f>
        <v>1721.26</v>
      </c>
      <c r="L74" s="354">
        <f t="shared" si="5"/>
        <v>-0.259999999999991</v>
      </c>
      <c r="M74" s="296">
        <v>2013402</v>
      </c>
      <c r="N74" s="296">
        <v>277.01</v>
      </c>
      <c r="O74" s="296">
        <v>2013102</v>
      </c>
      <c r="P74" s="296">
        <v>210</v>
      </c>
    </row>
    <row r="75" ht="20.1" customHeight="1" spans="1:16">
      <c r="A75" s="531" t="s">
        <v>93</v>
      </c>
      <c r="B75" s="532">
        <v>1963</v>
      </c>
      <c r="C75" s="533">
        <v>1647</v>
      </c>
      <c r="D75" s="528"/>
      <c r="E75" s="533">
        <v>210</v>
      </c>
      <c r="F75" s="530"/>
      <c r="G75" s="296">
        <v>2013102</v>
      </c>
      <c r="H75" s="296" t="s">
        <v>93</v>
      </c>
      <c r="I75" s="354">
        <v>1647.04</v>
      </c>
      <c r="J75" s="296">
        <f>ROUND(I75,0)</f>
        <v>1647</v>
      </c>
      <c r="K75" s="296">
        <f>VLOOKUP(G75,'[2]Sheet1 (2)'!$H:$I,2,0)</f>
        <v>1647.04</v>
      </c>
      <c r="L75" s="354">
        <f t="shared" si="5"/>
        <v>-0.0399999999999636</v>
      </c>
      <c r="M75" s="296">
        <v>2013405</v>
      </c>
      <c r="N75" s="296">
        <v>95.49</v>
      </c>
      <c r="O75" s="296">
        <v>2013150</v>
      </c>
      <c r="P75" s="296">
        <v>0</v>
      </c>
    </row>
    <row r="76" ht="20.1" customHeight="1" spans="1:16">
      <c r="A76" s="531" t="s">
        <v>101</v>
      </c>
      <c r="B76" s="532">
        <v>392</v>
      </c>
      <c r="C76" s="533">
        <v>331</v>
      </c>
      <c r="D76" s="528"/>
      <c r="E76" s="534"/>
      <c r="F76" s="530"/>
      <c r="G76" s="296">
        <v>2013150</v>
      </c>
      <c r="H76" s="296" t="s">
        <v>101</v>
      </c>
      <c r="I76" s="354">
        <v>331.37</v>
      </c>
      <c r="J76" s="296">
        <f>ROUND(I76,0)</f>
        <v>331</v>
      </c>
      <c r="K76" s="296">
        <f>VLOOKUP(G76,'[2]Sheet1 (2)'!$H:$I,2,0)</f>
        <v>331.37</v>
      </c>
      <c r="L76" s="354">
        <f t="shared" si="5"/>
        <v>-0.370000000000005</v>
      </c>
      <c r="M76" s="296">
        <v>2013450</v>
      </c>
      <c r="N76" s="296">
        <v>101.33</v>
      </c>
      <c r="O76" s="296">
        <v>2013201</v>
      </c>
      <c r="P76" s="296">
        <v>0</v>
      </c>
    </row>
    <row r="77" ht="20.1" customHeight="1" spans="1:16">
      <c r="A77" s="525" t="s">
        <v>198</v>
      </c>
      <c r="B77" s="526">
        <f>SUM(B78:B80)</f>
        <v>1271</v>
      </c>
      <c r="C77" s="527">
        <f>SUM(C78:C80)</f>
        <v>1354</v>
      </c>
      <c r="D77" s="526"/>
      <c r="E77" s="529"/>
      <c r="F77" s="530"/>
      <c r="K77" s="296" t="e">
        <f>VLOOKUP(G77,'[2]Sheet1 (2)'!$H:$I,2,0)</f>
        <v>#N/A</v>
      </c>
      <c r="L77" s="354" t="e">
        <f t="shared" si="5"/>
        <v>#N/A</v>
      </c>
      <c r="M77" s="296">
        <v>2013801</v>
      </c>
      <c r="N77" s="296">
        <v>4410.68</v>
      </c>
      <c r="O77" s="296">
        <v>2013202</v>
      </c>
      <c r="P77" s="296">
        <v>0</v>
      </c>
    </row>
    <row r="78" ht="20.1" customHeight="1" spans="1:16">
      <c r="A78" s="531" t="s">
        <v>91</v>
      </c>
      <c r="B78" s="532">
        <v>726</v>
      </c>
      <c r="C78" s="533">
        <v>805</v>
      </c>
      <c r="D78" s="528"/>
      <c r="E78" s="534"/>
      <c r="F78" s="530"/>
      <c r="G78" s="296">
        <v>2013201</v>
      </c>
      <c r="H78" s="296" t="s">
        <v>91</v>
      </c>
      <c r="I78" s="354">
        <v>804.59</v>
      </c>
      <c r="J78" s="296">
        <f>ROUND(I78,0)</f>
        <v>805</v>
      </c>
      <c r="K78" s="296">
        <f>VLOOKUP(G78,'[2]Sheet1 (2)'!$H:$I,2,0)</f>
        <v>804.59</v>
      </c>
      <c r="L78" s="354">
        <f t="shared" si="5"/>
        <v>0.409999999999968</v>
      </c>
      <c r="M78" s="296">
        <v>2013802</v>
      </c>
      <c r="N78" s="296">
        <v>1857</v>
      </c>
      <c r="O78" s="296">
        <v>2013250</v>
      </c>
      <c r="P78" s="296">
        <v>0</v>
      </c>
    </row>
    <row r="79" ht="20.1" customHeight="1" spans="1:16">
      <c r="A79" s="531" t="s">
        <v>93</v>
      </c>
      <c r="B79" s="532">
        <v>455</v>
      </c>
      <c r="C79" s="533">
        <v>463</v>
      </c>
      <c r="D79" s="528"/>
      <c r="E79" s="534"/>
      <c r="F79" s="530"/>
      <c r="G79" s="296">
        <v>2013202</v>
      </c>
      <c r="H79" s="296" t="s">
        <v>93</v>
      </c>
      <c r="I79" s="354">
        <v>463.37</v>
      </c>
      <c r="J79" s="296">
        <f>ROUND(I79,0)</f>
        <v>463</v>
      </c>
      <c r="K79" s="296">
        <f>VLOOKUP(G79,'[2]Sheet1 (2)'!$H:$I,2,0)</f>
        <v>463.37</v>
      </c>
      <c r="L79" s="354">
        <f t="shared" si="5"/>
        <v>-0.370000000000005</v>
      </c>
      <c r="M79" s="296">
        <v>2013850</v>
      </c>
      <c r="N79" s="296">
        <v>1839.45</v>
      </c>
      <c r="O79" s="296">
        <v>2013301</v>
      </c>
      <c r="P79" s="296">
        <v>0</v>
      </c>
    </row>
    <row r="80" ht="20.1" customHeight="1" spans="1:16">
      <c r="A80" s="531" t="s">
        <v>101</v>
      </c>
      <c r="B80" s="532">
        <v>90</v>
      </c>
      <c r="C80" s="533">
        <v>86</v>
      </c>
      <c r="D80" s="528"/>
      <c r="E80" s="534"/>
      <c r="F80" s="530"/>
      <c r="G80" s="296">
        <v>2013250</v>
      </c>
      <c r="H80" s="296" t="s">
        <v>101</v>
      </c>
      <c r="I80" s="354">
        <v>86.11</v>
      </c>
      <c r="J80" s="296">
        <f>ROUND(I80,0)</f>
        <v>86</v>
      </c>
      <c r="K80" s="296">
        <f>VLOOKUP(G80,'[2]Sheet1 (2)'!$H:$I,2,0)</f>
        <v>86.11</v>
      </c>
      <c r="L80" s="354">
        <f t="shared" si="5"/>
        <v>-0.109999999999999</v>
      </c>
      <c r="M80" s="296">
        <v>2014001</v>
      </c>
      <c r="N80" s="296">
        <v>142.24</v>
      </c>
      <c r="O80" s="296">
        <v>2013302</v>
      </c>
      <c r="P80" s="296">
        <v>0</v>
      </c>
    </row>
    <row r="81" ht="20.1" customHeight="1" spans="1:16">
      <c r="A81" s="525" t="s">
        <v>206</v>
      </c>
      <c r="B81" s="526">
        <f>SUM(B82:B84)</f>
        <v>1274</v>
      </c>
      <c r="C81" s="527">
        <f>SUM(C82:C84)</f>
        <v>1215</v>
      </c>
      <c r="D81" s="526"/>
      <c r="E81" s="529"/>
      <c r="F81" s="530"/>
      <c r="K81" s="296" t="e">
        <f>VLOOKUP(G81,'[2]Sheet1 (2)'!$H:$I,2,0)</f>
        <v>#N/A</v>
      </c>
      <c r="L81" s="354" t="e">
        <f t="shared" si="5"/>
        <v>#N/A</v>
      </c>
      <c r="M81" s="296">
        <v>2014002</v>
      </c>
      <c r="N81" s="296">
        <v>3.04</v>
      </c>
      <c r="O81" s="296">
        <v>2013350</v>
      </c>
      <c r="P81" s="296">
        <v>0</v>
      </c>
    </row>
    <row r="82" ht="20.1" customHeight="1" spans="1:16">
      <c r="A82" s="531" t="s">
        <v>91</v>
      </c>
      <c r="B82" s="532">
        <v>556</v>
      </c>
      <c r="C82" s="533">
        <v>599</v>
      </c>
      <c r="D82" s="528"/>
      <c r="E82" s="534"/>
      <c r="F82" s="530"/>
      <c r="G82" s="296">
        <v>2013301</v>
      </c>
      <c r="H82" s="296" t="s">
        <v>91</v>
      </c>
      <c r="I82" s="354">
        <v>599.1</v>
      </c>
      <c r="J82" s="296">
        <f>ROUND(I82,0)</f>
        <v>599</v>
      </c>
      <c r="K82" s="296">
        <f>VLOOKUP(G82,'[2]Sheet1 (2)'!$H:$I,2,0)</f>
        <v>599.1</v>
      </c>
      <c r="L82" s="354">
        <f t="shared" si="5"/>
        <v>-0.100000000000023</v>
      </c>
      <c r="M82" s="296">
        <v>2014004</v>
      </c>
      <c r="N82" s="296">
        <v>45</v>
      </c>
      <c r="O82" s="296">
        <v>2013401</v>
      </c>
      <c r="P82" s="296">
        <v>0</v>
      </c>
    </row>
    <row r="83" ht="20.1" customHeight="1" spans="1:16">
      <c r="A83" s="531" t="s">
        <v>93</v>
      </c>
      <c r="B83" s="532">
        <v>553</v>
      </c>
      <c r="C83" s="533">
        <v>410</v>
      </c>
      <c r="D83" s="528"/>
      <c r="E83" s="534"/>
      <c r="F83" s="530"/>
      <c r="G83" s="296">
        <v>2013302</v>
      </c>
      <c r="H83" s="296" t="s">
        <v>93</v>
      </c>
      <c r="I83" s="354">
        <v>410.23</v>
      </c>
      <c r="J83" s="296">
        <f>ROUND(I83,0)</f>
        <v>410</v>
      </c>
      <c r="K83" s="296">
        <f>VLOOKUP(G83,'[2]Sheet1 (2)'!$H:$I,2,0)</f>
        <v>410.23</v>
      </c>
      <c r="L83" s="354">
        <f t="shared" si="5"/>
        <v>-0.230000000000018</v>
      </c>
      <c r="M83" s="296">
        <v>2014099</v>
      </c>
      <c r="N83" s="296">
        <v>137.21</v>
      </c>
      <c r="O83" s="296">
        <v>2013402</v>
      </c>
      <c r="P83" s="296">
        <v>0</v>
      </c>
    </row>
    <row r="84" ht="20.1" customHeight="1" spans="1:16">
      <c r="A84" s="531" t="s">
        <v>101</v>
      </c>
      <c r="B84" s="532">
        <v>165</v>
      </c>
      <c r="C84" s="533">
        <v>206</v>
      </c>
      <c r="D84" s="528"/>
      <c r="E84" s="534"/>
      <c r="F84" s="530"/>
      <c r="G84" s="296">
        <v>2013350</v>
      </c>
      <c r="H84" s="296" t="s">
        <v>101</v>
      </c>
      <c r="I84" s="354">
        <v>205.71</v>
      </c>
      <c r="J84" s="296">
        <f>ROUND(I84,0)</f>
        <v>206</v>
      </c>
      <c r="K84" s="296">
        <f>VLOOKUP(G84,'[2]Sheet1 (2)'!$H:$I,2,0)</f>
        <v>205.71</v>
      </c>
      <c r="L84" s="354">
        <f t="shared" si="5"/>
        <v>0.289999999999992</v>
      </c>
      <c r="M84" s="296">
        <v>2019999</v>
      </c>
      <c r="N84" s="296">
        <v>1042.91</v>
      </c>
      <c r="O84" s="296">
        <v>2013405</v>
      </c>
      <c r="P84" s="296">
        <v>22</v>
      </c>
    </row>
    <row r="85" ht="20.1" customHeight="1" spans="1:16">
      <c r="A85" s="525" t="s">
        <v>212</v>
      </c>
      <c r="B85" s="526">
        <f>SUM(B86:B89)</f>
        <v>952</v>
      </c>
      <c r="C85" s="527">
        <f>SUM(C86:C89)</f>
        <v>979</v>
      </c>
      <c r="D85" s="526"/>
      <c r="E85" s="527">
        <f>SUM(E86:E89)</f>
        <v>22</v>
      </c>
      <c r="F85" s="530"/>
      <c r="K85" s="296" t="e">
        <f>VLOOKUP(G85,'[2]Sheet1 (2)'!$H:$I,2,0)</f>
        <v>#N/A</v>
      </c>
      <c r="L85" s="354" t="e">
        <f t="shared" si="5"/>
        <v>#N/A</v>
      </c>
      <c r="O85" s="296">
        <v>2013450</v>
      </c>
      <c r="P85" s="296">
        <v>0</v>
      </c>
    </row>
    <row r="86" ht="20.1" customHeight="1" spans="1:16">
      <c r="A86" s="531" t="s">
        <v>91</v>
      </c>
      <c r="B86" s="532">
        <v>514</v>
      </c>
      <c r="C86" s="533">
        <v>506</v>
      </c>
      <c r="D86" s="528"/>
      <c r="E86" s="534"/>
      <c r="F86" s="530"/>
      <c r="G86" s="296">
        <v>2013401</v>
      </c>
      <c r="H86" s="296" t="s">
        <v>91</v>
      </c>
      <c r="I86" s="354">
        <v>505.73</v>
      </c>
      <c r="J86" s="296">
        <f>ROUND(I86,0)</f>
        <v>506</v>
      </c>
      <c r="K86" s="296">
        <f>VLOOKUP(G86,'[2]Sheet1 (2)'!$H:$I,2,0)</f>
        <v>505.73</v>
      </c>
      <c r="L86" s="354">
        <f t="shared" si="5"/>
        <v>0.269999999999982</v>
      </c>
      <c r="O86" s="296">
        <v>2013801</v>
      </c>
      <c r="P86" s="296">
        <v>0</v>
      </c>
    </row>
    <row r="87" ht="20.1" customHeight="1" spans="1:16">
      <c r="A87" s="531" t="s">
        <v>93</v>
      </c>
      <c r="B87" s="532">
        <v>252</v>
      </c>
      <c r="C87" s="533">
        <v>277</v>
      </c>
      <c r="D87" s="528"/>
      <c r="E87" s="534"/>
      <c r="F87" s="530"/>
      <c r="G87" s="296">
        <v>2013402</v>
      </c>
      <c r="H87" s="296" t="s">
        <v>93</v>
      </c>
      <c r="I87" s="354">
        <v>277.01</v>
      </c>
      <c r="J87" s="296">
        <f>ROUND(I87,0)</f>
        <v>277</v>
      </c>
      <c r="K87" s="296">
        <f>VLOOKUP(G87,'[2]Sheet1 (2)'!$H:$I,2,0)</f>
        <v>277.01</v>
      </c>
      <c r="L87" s="354">
        <f t="shared" si="5"/>
        <v>-0.00999999999999091</v>
      </c>
      <c r="O87" s="296">
        <v>2013802</v>
      </c>
      <c r="P87" s="296">
        <v>0</v>
      </c>
    </row>
    <row r="88" ht="20.1" customHeight="1" spans="1:16">
      <c r="A88" s="538" t="s">
        <v>215</v>
      </c>
      <c r="B88" s="532">
        <v>96</v>
      </c>
      <c r="C88" s="533">
        <v>95</v>
      </c>
      <c r="D88" s="528"/>
      <c r="E88" s="535">
        <v>22</v>
      </c>
      <c r="F88" s="530"/>
      <c r="G88" s="296">
        <v>2013405</v>
      </c>
      <c r="H88" s="296" t="s">
        <v>215</v>
      </c>
      <c r="I88" s="354">
        <v>95.49</v>
      </c>
      <c r="J88" s="296">
        <f>ROUND(I88,0)</f>
        <v>95</v>
      </c>
      <c r="K88" s="296">
        <f>VLOOKUP(G88,'[2]Sheet1 (2)'!$H:$I,2,0)</f>
        <v>95.49</v>
      </c>
      <c r="L88" s="354">
        <f t="shared" si="5"/>
        <v>-0.489999999999995</v>
      </c>
      <c r="O88" s="296">
        <v>2013850</v>
      </c>
      <c r="P88" s="296">
        <v>0</v>
      </c>
    </row>
    <row r="89" ht="20.1" customHeight="1" spans="1:16">
      <c r="A89" s="538" t="s">
        <v>101</v>
      </c>
      <c r="B89" s="532">
        <v>90</v>
      </c>
      <c r="C89" s="533">
        <v>101</v>
      </c>
      <c r="D89" s="528"/>
      <c r="E89" s="535"/>
      <c r="F89" s="530"/>
      <c r="G89" s="296">
        <v>2013450</v>
      </c>
      <c r="H89" s="296" t="s">
        <v>101</v>
      </c>
      <c r="I89" s="354">
        <v>101.33</v>
      </c>
      <c r="J89" s="296">
        <f>ROUND(I89,0)</f>
        <v>101</v>
      </c>
      <c r="K89" s="296">
        <f>VLOOKUP(G89,'[2]Sheet1 (2)'!$H:$I,2,0)</f>
        <v>101.33</v>
      </c>
      <c r="L89" s="354">
        <f t="shared" si="5"/>
        <v>-0.329999999999998</v>
      </c>
      <c r="O89" s="296">
        <v>2014001</v>
      </c>
      <c r="P89" s="296">
        <v>0</v>
      </c>
    </row>
    <row r="90" ht="20.1" customHeight="1" spans="1:16">
      <c r="A90" s="525" t="s">
        <v>218</v>
      </c>
      <c r="B90" s="526">
        <f>SUM(B91:B94)</f>
        <v>7614</v>
      </c>
      <c r="C90" s="527">
        <f>SUM(C91:C94)</f>
        <v>8107</v>
      </c>
      <c r="D90" s="526"/>
      <c r="E90" s="529"/>
      <c r="F90" s="530"/>
      <c r="K90" s="296" t="e">
        <f>VLOOKUP(G90,'[2]Sheet1 (2)'!$H:$I,2,0)</f>
        <v>#N/A</v>
      </c>
      <c r="L90" s="354" t="e">
        <f t="shared" si="5"/>
        <v>#N/A</v>
      </c>
      <c r="O90" s="296">
        <v>2014002</v>
      </c>
      <c r="P90" s="296">
        <v>0</v>
      </c>
    </row>
    <row r="91" ht="20.1" customHeight="1" spans="1:16">
      <c r="A91" s="531" t="s">
        <v>91</v>
      </c>
      <c r="B91" s="532">
        <v>4315</v>
      </c>
      <c r="C91" s="533">
        <v>4411</v>
      </c>
      <c r="D91" s="528"/>
      <c r="E91" s="534"/>
      <c r="F91" s="530"/>
      <c r="G91" s="296">
        <v>2013801</v>
      </c>
      <c r="H91" s="296" t="s">
        <v>91</v>
      </c>
      <c r="I91" s="354">
        <v>4410.68</v>
      </c>
      <c r="J91" s="296">
        <f>ROUND(I91,0)</f>
        <v>4411</v>
      </c>
      <c r="K91" s="296">
        <f>VLOOKUP(G91,'[2]Sheet1 (2)'!$H:$I,2,0)</f>
        <v>4410.68</v>
      </c>
      <c r="L91" s="354">
        <f t="shared" si="5"/>
        <v>0.319999999999709</v>
      </c>
      <c r="O91" s="296">
        <v>2014004</v>
      </c>
      <c r="P91" s="296">
        <v>0</v>
      </c>
    </row>
    <row r="92" ht="20.1" customHeight="1" spans="1:16">
      <c r="A92" s="531" t="s">
        <v>93</v>
      </c>
      <c r="B92" s="532">
        <v>1376</v>
      </c>
      <c r="C92" s="533">
        <v>1857</v>
      </c>
      <c r="D92" s="528"/>
      <c r="E92" s="534"/>
      <c r="F92" s="530"/>
      <c r="G92" s="296">
        <v>2013802</v>
      </c>
      <c r="H92" s="296" t="s">
        <v>93</v>
      </c>
      <c r="I92" s="354">
        <v>1857</v>
      </c>
      <c r="J92" s="296">
        <f>ROUND(I92,0)</f>
        <v>1857</v>
      </c>
      <c r="K92" s="296">
        <f>VLOOKUP(G92,'[2]Sheet1 (2)'!$H:$I,2,0)</f>
        <v>1857</v>
      </c>
      <c r="L92" s="354">
        <f t="shared" si="5"/>
        <v>0</v>
      </c>
      <c r="O92" s="296">
        <v>2014099</v>
      </c>
      <c r="P92" s="296">
        <v>0</v>
      </c>
    </row>
    <row r="93" s="313" customFormat="1" ht="20.1" customHeight="1" spans="1:16">
      <c r="A93" s="531" t="s">
        <v>958</v>
      </c>
      <c r="B93" s="532">
        <v>60</v>
      </c>
      <c r="C93" s="533"/>
      <c r="D93" s="528"/>
      <c r="E93" s="534"/>
      <c r="F93" s="530"/>
      <c r="G93" s="296"/>
      <c r="H93" s="296"/>
      <c r="I93" s="354"/>
      <c r="J93" s="296"/>
      <c r="K93" s="296" t="e">
        <f>VLOOKUP(G93,'[2]Sheet1 (2)'!$H:$I,2,0)</f>
        <v>#N/A</v>
      </c>
      <c r="L93" s="354" t="e">
        <f t="shared" si="5"/>
        <v>#N/A</v>
      </c>
      <c r="M93" s="296"/>
      <c r="N93" s="296"/>
      <c r="O93" s="296">
        <v>2019999</v>
      </c>
      <c r="P93" s="296">
        <v>0</v>
      </c>
    </row>
    <row r="94" ht="20.1" customHeight="1" spans="1:16">
      <c r="A94" s="531" t="s">
        <v>101</v>
      </c>
      <c r="B94" s="532">
        <v>1863</v>
      </c>
      <c r="C94" s="533">
        <v>1839</v>
      </c>
      <c r="D94" s="528"/>
      <c r="E94" s="535"/>
      <c r="F94" s="530"/>
      <c r="G94" s="296">
        <v>2013850</v>
      </c>
      <c r="H94" s="296" t="s">
        <v>101</v>
      </c>
      <c r="I94" s="354">
        <v>1839.45</v>
      </c>
      <c r="J94" s="296">
        <f>ROUND(I94,0)</f>
        <v>1839</v>
      </c>
      <c r="K94" s="296">
        <f>VLOOKUP(G94,'[2]Sheet1 (2)'!$H:$I,2,0)</f>
        <v>1839.45</v>
      </c>
      <c r="L94" s="354">
        <f t="shared" si="5"/>
        <v>-0.450000000000045</v>
      </c>
      <c r="O94" s="296">
        <v>2030102</v>
      </c>
      <c r="P94" s="296">
        <v>0</v>
      </c>
    </row>
    <row r="95" ht="20.1" customHeight="1" spans="1:16">
      <c r="A95" s="525" t="s">
        <v>230</v>
      </c>
      <c r="B95" s="526"/>
      <c r="C95" s="527">
        <f>SUM(C96:C99)</f>
        <v>328</v>
      </c>
      <c r="D95" s="528"/>
      <c r="E95" s="535"/>
      <c r="F95" s="530"/>
      <c r="K95" s="296" t="e">
        <f>VLOOKUP(G95,'[2]Sheet1 (2)'!$H:$I,2,0)</f>
        <v>#N/A</v>
      </c>
      <c r="L95" s="354" t="e">
        <f t="shared" si="5"/>
        <v>#N/A</v>
      </c>
      <c r="O95" s="296">
        <v>2030607</v>
      </c>
      <c r="P95" s="296">
        <v>0</v>
      </c>
    </row>
    <row r="96" ht="20.1" customHeight="1" spans="1:12">
      <c r="A96" s="531" t="s">
        <v>91</v>
      </c>
      <c r="B96" s="532"/>
      <c r="C96" s="533">
        <v>142</v>
      </c>
      <c r="D96" s="528"/>
      <c r="E96" s="535"/>
      <c r="F96" s="530"/>
      <c r="G96" s="296">
        <v>2014001</v>
      </c>
      <c r="H96" s="296" t="s">
        <v>91</v>
      </c>
      <c r="I96" s="354">
        <v>142.24</v>
      </c>
      <c r="J96" s="296">
        <f>ROUND(I96,0)</f>
        <v>142</v>
      </c>
      <c r="K96" s="296">
        <f>VLOOKUP(G96,'[2]Sheet1 (2)'!$H:$I,2,0)</f>
        <v>142.24</v>
      </c>
      <c r="L96" s="354">
        <f t="shared" si="5"/>
        <v>-0.240000000000009</v>
      </c>
    </row>
    <row r="97" ht="20.1" customHeight="1" spans="1:12">
      <c r="A97" s="531" t="s">
        <v>93</v>
      </c>
      <c r="B97" s="532"/>
      <c r="C97" s="533">
        <v>3</v>
      </c>
      <c r="D97" s="528"/>
      <c r="E97" s="535"/>
      <c r="F97" s="530"/>
      <c r="G97" s="296">
        <v>2014002</v>
      </c>
      <c r="H97" s="296" t="s">
        <v>93</v>
      </c>
      <c r="I97" s="354">
        <v>3.04</v>
      </c>
      <c r="J97" s="296">
        <f>ROUND(I97,0)</f>
        <v>3</v>
      </c>
      <c r="K97" s="296">
        <f>VLOOKUP(G97,'[2]Sheet1 (2)'!$H:$I,2,0)</f>
        <v>3.04</v>
      </c>
      <c r="L97" s="354">
        <f t="shared" si="5"/>
        <v>-0.04</v>
      </c>
    </row>
    <row r="98" ht="20.1" customHeight="1" spans="1:14">
      <c r="A98" s="531" t="s">
        <v>959</v>
      </c>
      <c r="B98" s="532"/>
      <c r="C98" s="533">
        <v>45</v>
      </c>
      <c r="D98" s="528"/>
      <c r="E98" s="535"/>
      <c r="F98" s="530"/>
      <c r="G98" s="296">
        <v>2014004</v>
      </c>
      <c r="H98" s="296" t="s">
        <v>959</v>
      </c>
      <c r="I98" s="354">
        <v>45</v>
      </c>
      <c r="J98" s="296">
        <f>ROUND(I98,0)</f>
        <v>45</v>
      </c>
      <c r="K98" s="296">
        <f>VLOOKUP(G98,'[2]Sheet1 (2)'!$H:$I,2,0)</f>
        <v>45</v>
      </c>
      <c r="L98" s="354">
        <f t="shared" si="5"/>
        <v>0</v>
      </c>
      <c r="M98" s="313"/>
      <c r="N98" s="313"/>
    </row>
    <row r="99" ht="15" spans="1:12">
      <c r="A99" s="531" t="s">
        <v>960</v>
      </c>
      <c r="B99" s="532"/>
      <c r="C99" s="533">
        <v>138</v>
      </c>
      <c r="D99" s="528"/>
      <c r="E99" s="535"/>
      <c r="F99" s="530"/>
      <c r="G99" s="296">
        <v>2014099</v>
      </c>
      <c r="H99" s="296" t="s">
        <v>960</v>
      </c>
      <c r="I99" s="354">
        <v>137.21</v>
      </c>
      <c r="J99" s="296">
        <f>ROUND(I99,0)</f>
        <v>137</v>
      </c>
      <c r="K99" s="296">
        <f>VLOOKUP(G99,'[2]Sheet1 (2)'!$H:$I,2,0)</f>
        <v>137.21</v>
      </c>
      <c r="L99" s="354">
        <f t="shared" si="5"/>
        <v>0.789999999999992</v>
      </c>
    </row>
    <row r="100" s="313" customFormat="1" ht="20.1" customHeight="1" spans="1:16">
      <c r="A100" s="525" t="s">
        <v>961</v>
      </c>
      <c r="B100" s="526">
        <f>SUM(B101)</f>
        <v>905</v>
      </c>
      <c r="C100" s="527">
        <f>SUM(C101)</f>
        <v>1043</v>
      </c>
      <c r="D100" s="526"/>
      <c r="E100" s="529"/>
      <c r="F100" s="530"/>
      <c r="G100" s="296"/>
      <c r="H100" s="296"/>
      <c r="I100" s="354"/>
      <c r="J100" s="296"/>
      <c r="K100" s="296" t="e">
        <f>VLOOKUP(G100,'[2]Sheet1 (2)'!$H:$I,2,0)</f>
        <v>#N/A</v>
      </c>
      <c r="L100" s="354" t="e">
        <f t="shared" si="5"/>
        <v>#N/A</v>
      </c>
      <c r="M100" s="296"/>
      <c r="N100" s="296"/>
      <c r="O100" s="296"/>
      <c r="P100" s="296"/>
    </row>
    <row r="101" ht="20.1" customHeight="1" spans="1:12">
      <c r="A101" s="531" t="s">
        <v>231</v>
      </c>
      <c r="B101" s="532">
        <v>905</v>
      </c>
      <c r="C101" s="533">
        <v>1043</v>
      </c>
      <c r="D101" s="528"/>
      <c r="E101" s="534"/>
      <c r="F101" s="530"/>
      <c r="G101" s="296">
        <v>2019999</v>
      </c>
      <c r="H101" s="296" t="s">
        <v>231</v>
      </c>
      <c r="I101" s="354">
        <v>1042.91</v>
      </c>
      <c r="J101" s="296">
        <f>ROUND(I101,0)</f>
        <v>1043</v>
      </c>
      <c r="K101" s="296">
        <f>VLOOKUP(G101,'[2]Sheet1 (2)'!$H:$I,2,0)</f>
        <v>1042.91</v>
      </c>
      <c r="L101" s="354">
        <f t="shared" si="5"/>
        <v>0.0899999999999181</v>
      </c>
    </row>
    <row r="102" ht="20.1" customHeight="1" spans="1:12">
      <c r="A102" s="521" t="s">
        <v>233</v>
      </c>
      <c r="B102" s="499">
        <f>B103+B105</f>
        <v>675</v>
      </c>
      <c r="C102" s="522">
        <f>C103+C105</f>
        <v>641</v>
      </c>
      <c r="D102" s="523">
        <f>ROUND((C102/B102-1)*100,2)</f>
        <v>-5.04</v>
      </c>
      <c r="E102" s="539"/>
      <c r="F102" s="524"/>
      <c r="K102" s="296" t="e">
        <f>VLOOKUP(G102,'[2]Sheet1 (2)'!$H:$I,2,0)</f>
        <v>#N/A</v>
      </c>
      <c r="L102" s="354" t="e">
        <f t="shared" si="5"/>
        <v>#N/A</v>
      </c>
    </row>
    <row r="103" ht="20.1" customHeight="1" spans="1:12">
      <c r="A103" s="525" t="s">
        <v>962</v>
      </c>
      <c r="B103" s="526">
        <f t="shared" ref="B103:B108" si="6">SUM(B104:B104)</f>
        <v>335</v>
      </c>
      <c r="C103" s="527">
        <f t="shared" ref="C103:C108" si="7">SUM(C104:C104)</f>
        <v>352</v>
      </c>
      <c r="D103" s="528"/>
      <c r="E103" s="534"/>
      <c r="F103" s="530"/>
      <c r="K103" s="296" t="e">
        <f>VLOOKUP(G103,'[2]Sheet1 (2)'!$H:$I,2,0)</f>
        <v>#N/A</v>
      </c>
      <c r="L103" s="354" t="e">
        <f t="shared" si="5"/>
        <v>#N/A</v>
      </c>
    </row>
    <row r="104" ht="20.1" customHeight="1" spans="1:12">
      <c r="A104" s="531" t="s">
        <v>235</v>
      </c>
      <c r="B104" s="532">
        <v>335</v>
      </c>
      <c r="C104" s="533">
        <v>352</v>
      </c>
      <c r="D104" s="528"/>
      <c r="E104" s="534"/>
      <c r="F104" s="530"/>
      <c r="G104" s="296">
        <v>2030102</v>
      </c>
      <c r="H104" s="296" t="s">
        <v>235</v>
      </c>
      <c r="I104" s="354">
        <v>352.43</v>
      </c>
      <c r="J104" s="296">
        <f>ROUND(I104,0)</f>
        <v>352</v>
      </c>
      <c r="K104" s="296">
        <f>VLOOKUP(G104,'[2]Sheet1 (2)'!$H:$I,2,0)</f>
        <v>352.43</v>
      </c>
      <c r="L104" s="354">
        <f t="shared" si="5"/>
        <v>-0.430000000000007</v>
      </c>
    </row>
    <row r="105" ht="20.1" customHeight="1" spans="1:14">
      <c r="A105" s="525" t="s">
        <v>237</v>
      </c>
      <c r="B105" s="526">
        <f t="shared" si="6"/>
        <v>340</v>
      </c>
      <c r="C105" s="527">
        <f t="shared" si="7"/>
        <v>289</v>
      </c>
      <c r="D105" s="528"/>
      <c r="E105" s="529"/>
      <c r="F105" s="530"/>
      <c r="K105" s="296" t="e">
        <f>VLOOKUP(G105,'[2]Sheet1 (2)'!$H:$I,2,0)</f>
        <v>#N/A</v>
      </c>
      <c r="L105" s="354" t="e">
        <f t="shared" si="5"/>
        <v>#N/A</v>
      </c>
      <c r="M105" s="313"/>
      <c r="N105" s="313"/>
    </row>
    <row r="106" ht="20.1" customHeight="1" spans="1:12">
      <c r="A106" s="531" t="s">
        <v>238</v>
      </c>
      <c r="B106" s="532">
        <v>340</v>
      </c>
      <c r="C106" s="533">
        <v>289</v>
      </c>
      <c r="D106" s="528"/>
      <c r="E106" s="529"/>
      <c r="F106" s="530"/>
      <c r="G106" s="296">
        <v>2030607</v>
      </c>
      <c r="H106" s="296" t="s">
        <v>238</v>
      </c>
      <c r="I106" s="354">
        <v>288.58</v>
      </c>
      <c r="J106" s="296">
        <f>ROUND(I106,0)</f>
        <v>289</v>
      </c>
      <c r="K106" s="296">
        <f>VLOOKUP(G106,'[2]Sheet1 (2)'!$H:$I,2,0)</f>
        <v>288.58</v>
      </c>
      <c r="L106" s="354">
        <f t="shared" si="5"/>
        <v>0.420000000000016</v>
      </c>
    </row>
    <row r="107" ht="20.1" customHeight="1" spans="1:12">
      <c r="A107" s="521" t="s">
        <v>240</v>
      </c>
      <c r="B107" s="499">
        <f>B108+B110+B118</f>
        <v>50974</v>
      </c>
      <c r="C107" s="522">
        <f>C108+C110+C118+C116</f>
        <v>52170</v>
      </c>
      <c r="D107" s="523">
        <f>ROUND((C107/B107-1)*100,2)</f>
        <v>2.35</v>
      </c>
      <c r="E107" s="499">
        <f>E110+E118</f>
        <v>2528</v>
      </c>
      <c r="F107" s="524"/>
      <c r="K107" s="296" t="e">
        <f>VLOOKUP(G107,'[2]Sheet1 (2)'!$H:$I,2,0)</f>
        <v>#N/A</v>
      </c>
      <c r="L107" s="354" t="e">
        <f t="shared" si="5"/>
        <v>#N/A</v>
      </c>
    </row>
    <row r="108" ht="20.1" customHeight="1" spans="1:12">
      <c r="A108" s="525" t="s">
        <v>241</v>
      </c>
      <c r="B108" s="526">
        <f t="shared" si="6"/>
        <v>48</v>
      </c>
      <c r="C108" s="527">
        <f t="shared" si="7"/>
        <v>0</v>
      </c>
      <c r="D108" s="526"/>
      <c r="E108" s="526"/>
      <c r="F108" s="530"/>
      <c r="K108" s="296" t="e">
        <f>VLOOKUP(G108,'[2]Sheet1 (2)'!$H:$I,2,0)</f>
        <v>#N/A</v>
      </c>
      <c r="L108" s="354" t="e">
        <f t="shared" si="5"/>
        <v>#N/A</v>
      </c>
    </row>
    <row r="109" ht="20.1" customHeight="1" spans="1:16">
      <c r="A109" s="531" t="s">
        <v>242</v>
      </c>
      <c r="B109" s="532">
        <v>48</v>
      </c>
      <c r="C109" s="533"/>
      <c r="D109" s="528"/>
      <c r="E109" s="534"/>
      <c r="F109" s="530"/>
      <c r="K109" s="296" t="e">
        <f>VLOOKUP(G109,'[2]Sheet1 (2)'!$H:$I,2,0)</f>
        <v>#N/A</v>
      </c>
      <c r="L109" s="354" t="e">
        <f t="shared" si="5"/>
        <v>#N/A</v>
      </c>
      <c r="O109" s="296">
        <v>2040201</v>
      </c>
      <c r="P109" s="296">
        <v>0</v>
      </c>
    </row>
    <row r="110" ht="20.1" customHeight="1" spans="1:16">
      <c r="A110" s="525" t="s">
        <v>244</v>
      </c>
      <c r="B110" s="526">
        <f>SUM(B111:B115)</f>
        <v>47791</v>
      </c>
      <c r="C110" s="527">
        <f>SUM(C111:C115)</f>
        <v>49115</v>
      </c>
      <c r="D110" s="526">
        <f t="shared" ref="D110:E110" si="8">SUM(D111:D115)</f>
        <v>0</v>
      </c>
      <c r="E110" s="526">
        <f t="shared" si="8"/>
        <v>2302</v>
      </c>
      <c r="F110" s="530"/>
      <c r="K110" s="296" t="e">
        <f>VLOOKUP(G110,'[2]Sheet1 (2)'!$H:$I,2,0)</f>
        <v>#N/A</v>
      </c>
      <c r="L110" s="354" t="e">
        <f t="shared" si="5"/>
        <v>#N/A</v>
      </c>
      <c r="O110" s="296">
        <v>2040202</v>
      </c>
      <c r="P110" s="296">
        <v>937</v>
      </c>
    </row>
    <row r="111" ht="20.1" customHeight="1" spans="1:16">
      <c r="A111" s="531" t="s">
        <v>91</v>
      </c>
      <c r="B111" s="532">
        <v>29758</v>
      </c>
      <c r="C111" s="533">
        <v>29856</v>
      </c>
      <c r="D111" s="528"/>
      <c r="E111" s="534"/>
      <c r="F111" s="530"/>
      <c r="G111" s="296">
        <v>2040201</v>
      </c>
      <c r="H111" s="296" t="s">
        <v>91</v>
      </c>
      <c r="I111" s="354">
        <v>29856.37</v>
      </c>
      <c r="J111" s="296">
        <f>ROUND(I111,0)</f>
        <v>29856</v>
      </c>
      <c r="K111" s="296">
        <f>VLOOKUP(G111,'[2]Sheet1 (2)'!$H:$I,2,0)</f>
        <v>29856.37</v>
      </c>
      <c r="L111" s="354">
        <f t="shared" si="5"/>
        <v>-0.369999999998981</v>
      </c>
      <c r="O111" s="296">
        <v>2040219</v>
      </c>
      <c r="P111" s="296">
        <v>0</v>
      </c>
    </row>
    <row r="112" ht="20.1" customHeight="1" spans="1:16">
      <c r="A112" s="531" t="s">
        <v>93</v>
      </c>
      <c r="B112" s="532">
        <v>10444</v>
      </c>
      <c r="C112" s="533">
        <v>10706</v>
      </c>
      <c r="D112" s="528"/>
      <c r="E112" s="533">
        <v>937</v>
      </c>
      <c r="F112" s="530"/>
      <c r="G112" s="296">
        <v>2040202</v>
      </c>
      <c r="H112" s="296" t="s">
        <v>93</v>
      </c>
      <c r="I112" s="354">
        <v>10705.5</v>
      </c>
      <c r="J112" s="296">
        <f>ROUND(I112,0)</f>
        <v>10706</v>
      </c>
      <c r="K112" s="296">
        <f>VLOOKUP(G112,'[2]Sheet1 (2)'!$H:$I,2,0)</f>
        <v>10705.5</v>
      </c>
      <c r="L112" s="354">
        <f t="shared" si="5"/>
        <v>0.5</v>
      </c>
      <c r="O112" s="296">
        <v>2040220</v>
      </c>
      <c r="P112" s="296">
        <v>0</v>
      </c>
    </row>
    <row r="113" ht="20.1" customHeight="1" spans="1:16">
      <c r="A113" s="531" t="s">
        <v>146</v>
      </c>
      <c r="B113" s="532">
        <v>2450</v>
      </c>
      <c r="C113" s="533">
        <v>610</v>
      </c>
      <c r="D113" s="528"/>
      <c r="E113" s="534"/>
      <c r="F113" s="530"/>
      <c r="G113" s="296">
        <v>2040219</v>
      </c>
      <c r="H113" s="296" t="s">
        <v>146</v>
      </c>
      <c r="I113" s="354">
        <v>610</v>
      </c>
      <c r="J113" s="296">
        <f>ROUND(I113,0)</f>
        <v>610</v>
      </c>
      <c r="K113" s="296">
        <f>VLOOKUP(G113,'[2]Sheet1 (2)'!$H:$I,2,0)</f>
        <v>610</v>
      </c>
      <c r="L113" s="354">
        <f t="shared" si="5"/>
        <v>0</v>
      </c>
      <c r="O113" s="296">
        <v>2040299</v>
      </c>
      <c r="P113" s="296">
        <v>1365</v>
      </c>
    </row>
    <row r="114" ht="20.1" customHeight="1" spans="1:16">
      <c r="A114" s="531" t="s">
        <v>248</v>
      </c>
      <c r="B114" s="532">
        <v>1020</v>
      </c>
      <c r="C114" s="533">
        <v>5820</v>
      </c>
      <c r="D114" s="528"/>
      <c r="E114" s="534"/>
      <c r="F114" s="530"/>
      <c r="G114" s="296">
        <v>2040220</v>
      </c>
      <c r="H114" s="296" t="s">
        <v>248</v>
      </c>
      <c r="I114" s="354">
        <v>5820</v>
      </c>
      <c r="J114" s="296">
        <f>ROUND(I114,0)</f>
        <v>5820</v>
      </c>
      <c r="K114" s="296">
        <f>VLOOKUP(G114,'[2]Sheet1 (2)'!$H:$I,2,0)</f>
        <v>5820</v>
      </c>
      <c r="L114" s="354">
        <f t="shared" si="5"/>
        <v>0</v>
      </c>
      <c r="O114" s="296">
        <v>2040302</v>
      </c>
      <c r="P114" s="296">
        <v>0</v>
      </c>
    </row>
    <row r="115" ht="20.1" customHeight="1" spans="1:16">
      <c r="A115" s="531" t="s">
        <v>250</v>
      </c>
      <c r="B115" s="532">
        <v>4119</v>
      </c>
      <c r="C115" s="533">
        <v>2123</v>
      </c>
      <c r="D115" s="528"/>
      <c r="E115" s="533">
        <v>1365</v>
      </c>
      <c r="F115" s="530"/>
      <c r="G115" s="296">
        <v>2040299</v>
      </c>
      <c r="H115" s="296" t="s">
        <v>250</v>
      </c>
      <c r="I115" s="354">
        <v>2018</v>
      </c>
      <c r="J115" s="296">
        <f>ROUND(I115,0)</f>
        <v>2018</v>
      </c>
      <c r="K115" s="296">
        <f>VLOOKUP(G115,'[2]Sheet1 (2)'!$H:$I,2,0)</f>
        <v>2123</v>
      </c>
      <c r="L115" s="354">
        <f t="shared" si="5"/>
        <v>0</v>
      </c>
      <c r="O115" s="296">
        <v>2040601</v>
      </c>
      <c r="P115" s="296">
        <v>0</v>
      </c>
    </row>
    <row r="116" ht="20.1" customHeight="1" spans="1:16">
      <c r="A116" s="525" t="s">
        <v>963</v>
      </c>
      <c r="B116" s="525"/>
      <c r="C116" s="527">
        <f>C117</f>
        <v>56</v>
      </c>
      <c r="D116" s="525"/>
      <c r="E116" s="540"/>
      <c r="F116" s="530"/>
      <c r="K116" s="296" t="e">
        <f>VLOOKUP(G116,'[2]Sheet1 (2)'!$H:$I,2,0)</f>
        <v>#N/A</v>
      </c>
      <c r="L116" s="354" t="e">
        <f t="shared" si="5"/>
        <v>#N/A</v>
      </c>
      <c r="O116" s="296">
        <v>2040602</v>
      </c>
      <c r="P116" s="296">
        <v>0</v>
      </c>
    </row>
    <row r="117" ht="20.1" customHeight="1" spans="1:16">
      <c r="A117" s="531" t="s">
        <v>93</v>
      </c>
      <c r="B117" s="532"/>
      <c r="C117" s="533">
        <v>56</v>
      </c>
      <c r="D117" s="528"/>
      <c r="E117" s="534"/>
      <c r="F117" s="530"/>
      <c r="G117" s="296">
        <v>2040302</v>
      </c>
      <c r="H117" s="296" t="s">
        <v>93</v>
      </c>
      <c r="I117" s="354">
        <v>56</v>
      </c>
      <c r="J117" s="296">
        <f>ROUND(I117,0)</f>
        <v>56</v>
      </c>
      <c r="K117" s="296">
        <f>VLOOKUP(G117,'[2]Sheet1 (2)'!$H:$I,2,0)</f>
        <v>56</v>
      </c>
      <c r="L117" s="354">
        <f t="shared" si="5"/>
        <v>0</v>
      </c>
      <c r="O117" s="296">
        <v>2040605</v>
      </c>
      <c r="P117" s="296">
        <v>0</v>
      </c>
    </row>
    <row r="118" ht="20.1" customHeight="1" spans="1:16">
      <c r="A118" s="525" t="s">
        <v>964</v>
      </c>
      <c r="B118" s="526">
        <f>SUM(B119:B125)</f>
        <v>3135</v>
      </c>
      <c r="C118" s="527">
        <f>SUM(C119:C125)</f>
        <v>2999</v>
      </c>
      <c r="D118" s="526">
        <f t="shared" ref="D118:E118" si="9">SUM(D119:D125)</f>
        <v>0</v>
      </c>
      <c r="E118" s="526">
        <f t="shared" si="9"/>
        <v>226</v>
      </c>
      <c r="F118" s="530"/>
      <c r="K118" s="296" t="e">
        <f>VLOOKUP(G118,'[2]Sheet1 (2)'!$H:$I,2,0)</f>
        <v>#N/A</v>
      </c>
      <c r="L118" s="354" t="e">
        <f t="shared" si="5"/>
        <v>#N/A</v>
      </c>
      <c r="O118" s="296">
        <v>2040607</v>
      </c>
      <c r="P118" s="296">
        <v>21</v>
      </c>
    </row>
    <row r="119" ht="20.1" customHeight="1" spans="1:16">
      <c r="A119" s="531" t="s">
        <v>91</v>
      </c>
      <c r="B119" s="532">
        <v>1953</v>
      </c>
      <c r="C119" s="533">
        <v>1947</v>
      </c>
      <c r="D119" s="528"/>
      <c r="E119" s="534"/>
      <c r="F119" s="530"/>
      <c r="G119" s="296">
        <v>2040601</v>
      </c>
      <c r="H119" s="296" t="s">
        <v>91</v>
      </c>
      <c r="I119" s="354">
        <v>1946.75</v>
      </c>
      <c r="J119" s="296">
        <f t="shared" ref="J119:J125" si="10">ROUND(I119,0)</f>
        <v>1947</v>
      </c>
      <c r="K119" s="296">
        <f>VLOOKUP(G119,'[2]Sheet1 (2)'!$H:$I,2,0)</f>
        <v>1946.75</v>
      </c>
      <c r="L119" s="354">
        <f t="shared" si="5"/>
        <v>0.25</v>
      </c>
      <c r="O119" s="296">
        <v>2040610</v>
      </c>
      <c r="P119" s="296">
        <v>45</v>
      </c>
    </row>
    <row r="120" ht="20.1" customHeight="1" spans="1:16">
      <c r="A120" s="531" t="s">
        <v>93</v>
      </c>
      <c r="B120" s="532">
        <v>350</v>
      </c>
      <c r="C120" s="533">
        <v>345</v>
      </c>
      <c r="D120" s="528"/>
      <c r="E120" s="534"/>
      <c r="F120" s="530"/>
      <c r="G120" s="296">
        <v>2040602</v>
      </c>
      <c r="H120" s="296" t="s">
        <v>93</v>
      </c>
      <c r="I120" s="354">
        <v>345.23</v>
      </c>
      <c r="J120" s="296">
        <f t="shared" si="10"/>
        <v>345</v>
      </c>
      <c r="K120" s="296">
        <f>VLOOKUP(G120,'[2]Sheet1 (2)'!$H:$I,2,0)</f>
        <v>345.23</v>
      </c>
      <c r="L120" s="354">
        <f t="shared" si="5"/>
        <v>-0.230000000000018</v>
      </c>
      <c r="O120" s="296">
        <v>2040650</v>
      </c>
      <c r="P120" s="296">
        <v>0</v>
      </c>
    </row>
    <row r="121" ht="20.1" customHeight="1" spans="1:16">
      <c r="A121" s="531" t="s">
        <v>269</v>
      </c>
      <c r="B121" s="532">
        <v>220</v>
      </c>
      <c r="C121" s="533">
        <v>154</v>
      </c>
      <c r="D121" s="528"/>
      <c r="E121" s="534"/>
      <c r="F121" s="530"/>
      <c r="G121" s="296">
        <v>2040605</v>
      </c>
      <c r="H121" s="296" t="s">
        <v>269</v>
      </c>
      <c r="I121" s="354">
        <v>154</v>
      </c>
      <c r="J121" s="296">
        <f t="shared" si="10"/>
        <v>154</v>
      </c>
      <c r="K121" s="296">
        <f>VLOOKUP(G121,'[2]Sheet1 (2)'!$H:$I,2,0)</f>
        <v>154</v>
      </c>
      <c r="L121" s="354">
        <f t="shared" si="5"/>
        <v>0</v>
      </c>
      <c r="O121" s="313">
        <v>2040699</v>
      </c>
      <c r="P121" s="313">
        <v>160</v>
      </c>
    </row>
    <row r="122" ht="20.1" customHeight="1" spans="1:16">
      <c r="A122" s="531" t="s">
        <v>965</v>
      </c>
      <c r="B122" s="532"/>
      <c r="C122" s="533"/>
      <c r="D122" s="528"/>
      <c r="E122" s="535">
        <v>21</v>
      </c>
      <c r="F122" s="530"/>
      <c r="G122" s="296">
        <v>2040607</v>
      </c>
      <c r="L122" s="354"/>
      <c r="O122" s="313"/>
      <c r="P122" s="313"/>
    </row>
    <row r="123" s="313" customFormat="1" ht="20.1" customHeight="1" spans="1:14">
      <c r="A123" s="531" t="s">
        <v>271</v>
      </c>
      <c r="B123" s="532">
        <v>228</v>
      </c>
      <c r="C123" s="533">
        <v>220</v>
      </c>
      <c r="D123" s="528"/>
      <c r="E123" s="535">
        <v>45</v>
      </c>
      <c r="F123" s="530"/>
      <c r="G123" s="296">
        <v>2040610</v>
      </c>
      <c r="H123" s="296" t="s">
        <v>271</v>
      </c>
      <c r="I123" s="354">
        <v>220</v>
      </c>
      <c r="J123" s="296">
        <f t="shared" si="10"/>
        <v>220</v>
      </c>
      <c r="K123" s="296">
        <f>VLOOKUP(G123,'[2]Sheet1 (2)'!$H:$I,2,0)</f>
        <v>220</v>
      </c>
      <c r="L123" s="354">
        <f t="shared" si="5"/>
        <v>0</v>
      </c>
      <c r="M123" s="296"/>
      <c r="N123" s="296"/>
    </row>
    <row r="124" ht="23.1" customHeight="1" spans="1:16">
      <c r="A124" s="531" t="s">
        <v>101</v>
      </c>
      <c r="B124" s="532">
        <v>360</v>
      </c>
      <c r="C124" s="533">
        <v>316</v>
      </c>
      <c r="D124" s="528"/>
      <c r="E124" s="534"/>
      <c r="F124" s="530"/>
      <c r="G124" s="296">
        <v>2040650</v>
      </c>
      <c r="H124" s="296" t="s">
        <v>101</v>
      </c>
      <c r="I124" s="354">
        <v>316</v>
      </c>
      <c r="J124" s="296">
        <f t="shared" si="10"/>
        <v>316</v>
      </c>
      <c r="K124" s="296">
        <f>VLOOKUP(G124,'[2]Sheet1 (2)'!$H:$I,2,0)</f>
        <v>316</v>
      </c>
      <c r="L124" s="354">
        <f t="shared" si="5"/>
        <v>0</v>
      </c>
      <c r="O124" s="313"/>
      <c r="P124" s="313"/>
    </row>
    <row r="125" ht="20.1" customHeight="1" spans="1:16">
      <c r="A125" s="531" t="s">
        <v>274</v>
      </c>
      <c r="B125" s="532">
        <v>24</v>
      </c>
      <c r="C125" s="533">
        <v>17</v>
      </c>
      <c r="D125" s="528"/>
      <c r="E125" s="535">
        <v>160</v>
      </c>
      <c r="F125" s="530"/>
      <c r="G125" s="296">
        <v>2040699</v>
      </c>
      <c r="H125" s="296" t="s">
        <v>274</v>
      </c>
      <c r="I125" s="354">
        <v>16.8</v>
      </c>
      <c r="J125" s="296">
        <f t="shared" si="10"/>
        <v>17</v>
      </c>
      <c r="K125" s="296">
        <f>VLOOKUP(G125,'[2]Sheet1 (2)'!$H:$I,2,0)</f>
        <v>16.8</v>
      </c>
      <c r="L125" s="354">
        <f t="shared" si="5"/>
        <v>0.199999999999999</v>
      </c>
      <c r="O125" s="313"/>
      <c r="P125" s="313"/>
    </row>
    <row r="126" ht="20.1" customHeight="1" spans="1:16">
      <c r="A126" s="521" t="s">
        <v>283</v>
      </c>
      <c r="B126" s="499">
        <f>B127+B131+B137+B139+B141+B144+B147+B149</f>
        <v>268840</v>
      </c>
      <c r="C126" s="522">
        <f>C127+C131+C137+C139+C141+C144+C147+C149</f>
        <v>291365</v>
      </c>
      <c r="D126" s="523">
        <f>ROUND((C126/B126-1)*100,2)</f>
        <v>8.38</v>
      </c>
      <c r="E126" s="522">
        <f>E127+E131+E137+E139+E141+E144+E147+E149</f>
        <v>8063</v>
      </c>
      <c r="F126" s="541"/>
      <c r="K126" s="296" t="e">
        <f>VLOOKUP(G126,'[2]Sheet1 (2)'!$H:$I,2,0)</f>
        <v>#N/A</v>
      </c>
      <c r="L126" s="354" t="e">
        <f t="shared" si="5"/>
        <v>#N/A</v>
      </c>
      <c r="O126" s="313"/>
      <c r="P126" s="313"/>
    </row>
    <row r="127" ht="20.1" customHeight="1" spans="1:16">
      <c r="A127" s="525" t="s">
        <v>285</v>
      </c>
      <c r="B127" s="526">
        <f>SUM(B128:B128)</f>
        <v>1538</v>
      </c>
      <c r="C127" s="527">
        <f>SUM(C128:C130)</f>
        <v>1587</v>
      </c>
      <c r="D127" s="528"/>
      <c r="E127" s="529"/>
      <c r="F127" s="530"/>
      <c r="K127" s="296" t="e">
        <f>VLOOKUP(G127,'[2]Sheet1 (2)'!$H:$I,2,0)</f>
        <v>#N/A</v>
      </c>
      <c r="L127" s="354" t="e">
        <f t="shared" si="5"/>
        <v>#N/A</v>
      </c>
      <c r="O127" s="313"/>
      <c r="P127" s="313"/>
    </row>
    <row r="128" ht="20.1" customHeight="1" spans="1:16">
      <c r="A128" s="531" t="s">
        <v>91</v>
      </c>
      <c r="B128" s="532">
        <v>1538</v>
      </c>
      <c r="C128" s="533">
        <v>325</v>
      </c>
      <c r="D128" s="528"/>
      <c r="E128" s="534"/>
      <c r="F128" s="530"/>
      <c r="G128" s="296">
        <v>2050101</v>
      </c>
      <c r="H128" s="296" t="s">
        <v>91</v>
      </c>
      <c r="I128" s="354">
        <v>1471.8</v>
      </c>
      <c r="J128" s="296">
        <f>ROUND(I128,0)</f>
        <v>1472</v>
      </c>
      <c r="K128" s="296">
        <f>VLOOKUP(G128,'[2]Sheet1 (2)'!$H:$I,2,0)</f>
        <v>325.47</v>
      </c>
      <c r="L128" s="354">
        <f t="shared" si="5"/>
        <v>-0.470000000000027</v>
      </c>
      <c r="M128" s="542">
        <v>2050101</v>
      </c>
      <c r="N128" s="543">
        <v>325.47</v>
      </c>
      <c r="O128" s="296">
        <v>2050101</v>
      </c>
      <c r="P128" s="296">
        <v>0</v>
      </c>
    </row>
    <row r="129" ht="23.25" customHeight="1" spans="1:16">
      <c r="A129" s="531" t="s">
        <v>93</v>
      </c>
      <c r="B129" s="532"/>
      <c r="C129" s="533">
        <v>116</v>
      </c>
      <c r="D129" s="528"/>
      <c r="E129" s="534"/>
      <c r="F129" s="530"/>
      <c r="G129" s="296">
        <v>2050102</v>
      </c>
      <c r="H129" s="296" t="s">
        <v>93</v>
      </c>
      <c r="I129" s="354">
        <v>116</v>
      </c>
      <c r="J129" s="296">
        <f>ROUND(I129,0)</f>
        <v>116</v>
      </c>
      <c r="K129" s="296">
        <f>VLOOKUP(G129,'[2]Sheet1 (2)'!$H:$I,2,0)</f>
        <v>116</v>
      </c>
      <c r="L129" s="354">
        <f t="shared" si="5"/>
        <v>0</v>
      </c>
      <c r="M129" s="542">
        <v>2050102</v>
      </c>
      <c r="N129" s="543">
        <v>116</v>
      </c>
      <c r="O129" s="296">
        <v>2050102</v>
      </c>
      <c r="P129" s="296">
        <v>0</v>
      </c>
    </row>
    <row r="130" ht="23.25" customHeight="1" spans="1:16">
      <c r="A130" s="531" t="s">
        <v>288</v>
      </c>
      <c r="B130" s="532"/>
      <c r="C130" s="533">
        <v>1146</v>
      </c>
      <c r="D130" s="528"/>
      <c r="E130" s="534"/>
      <c r="F130" s="530"/>
      <c r="G130" s="296">
        <v>2050199</v>
      </c>
      <c r="K130" s="296">
        <f>VLOOKUP(G130,'[2]Sheet1 (2)'!$H:$I,2,0)</f>
        <v>1146.33</v>
      </c>
      <c r="L130" s="354"/>
      <c r="M130" s="542"/>
      <c r="N130" s="543"/>
      <c r="O130" s="296">
        <v>2050199</v>
      </c>
      <c r="P130" s="296">
        <v>0</v>
      </c>
    </row>
    <row r="131" ht="20.1" customHeight="1" spans="1:16">
      <c r="A131" s="525" t="s">
        <v>289</v>
      </c>
      <c r="B131" s="526">
        <f>SUM(B132:B136)</f>
        <v>236381</v>
      </c>
      <c r="C131" s="527">
        <f>SUM(C132:C136)</f>
        <v>252863</v>
      </c>
      <c r="D131" s="526">
        <f t="shared" ref="D131:E131" si="11">SUM(D132:D136)</f>
        <v>0</v>
      </c>
      <c r="E131" s="527">
        <f t="shared" si="11"/>
        <v>6894</v>
      </c>
      <c r="F131" s="530"/>
      <c r="K131" s="296" t="e">
        <f>VLOOKUP(G131,'[2]Sheet1 (2)'!$H:$I,2,0)</f>
        <v>#N/A</v>
      </c>
      <c r="L131" s="354" t="e">
        <f t="shared" si="5"/>
        <v>#N/A</v>
      </c>
      <c r="M131" s="542">
        <v>2050199</v>
      </c>
      <c r="N131" s="543">
        <v>1146.33</v>
      </c>
      <c r="O131" s="296">
        <v>2050201</v>
      </c>
      <c r="P131" s="296">
        <v>318.14</v>
      </c>
    </row>
    <row r="132" ht="20.1" customHeight="1" spans="1:16">
      <c r="A132" s="531" t="s">
        <v>290</v>
      </c>
      <c r="B132" s="532">
        <v>6293</v>
      </c>
      <c r="C132" s="533">
        <v>5739</v>
      </c>
      <c r="D132" s="528"/>
      <c r="E132" s="533">
        <v>318</v>
      </c>
      <c r="F132" s="530"/>
      <c r="G132" s="296">
        <v>2050201</v>
      </c>
      <c r="H132" s="296" t="s">
        <v>290</v>
      </c>
      <c r="I132" s="354">
        <v>5738.61</v>
      </c>
      <c r="J132" s="296">
        <f>ROUND(I132,0)</f>
        <v>5739</v>
      </c>
      <c r="K132" s="296">
        <f>VLOOKUP(G132,'[2]Sheet1 (2)'!$H:$I,2,0)</f>
        <v>5738.61</v>
      </c>
      <c r="L132" s="354">
        <f t="shared" si="5"/>
        <v>0.390000000000327</v>
      </c>
      <c r="M132" s="549">
        <v>2050201</v>
      </c>
      <c r="N132" s="543">
        <v>5738.61</v>
      </c>
      <c r="O132" s="296">
        <v>2050202</v>
      </c>
      <c r="P132" s="296">
        <v>3510.94</v>
      </c>
    </row>
    <row r="133" ht="20.1" customHeight="1" spans="1:16">
      <c r="A133" s="531" t="s">
        <v>292</v>
      </c>
      <c r="B133" s="532">
        <v>115427</v>
      </c>
      <c r="C133" s="533">
        <v>122441</v>
      </c>
      <c r="D133" s="528"/>
      <c r="E133" s="533">
        <v>3511</v>
      </c>
      <c r="F133" s="530"/>
      <c r="G133" s="296">
        <v>2050202</v>
      </c>
      <c r="H133" s="296" t="s">
        <v>292</v>
      </c>
      <c r="I133" s="354">
        <v>122440.73</v>
      </c>
      <c r="J133" s="296">
        <f>ROUND(I133,0)</f>
        <v>122441</v>
      </c>
      <c r="K133" s="296">
        <f>VLOOKUP(G133,'[2]Sheet1 (2)'!$H:$I,2,0)</f>
        <v>122440.73</v>
      </c>
      <c r="L133" s="354">
        <f t="shared" si="5"/>
        <v>0.270000000004075</v>
      </c>
      <c r="M133" s="549">
        <v>2050202</v>
      </c>
      <c r="N133" s="543">
        <v>122440.73</v>
      </c>
      <c r="O133" s="296">
        <v>2050203</v>
      </c>
      <c r="P133" s="296">
        <v>1933.67</v>
      </c>
    </row>
    <row r="134" ht="20.1" customHeight="1" spans="1:16">
      <c r="A134" s="531" t="s">
        <v>294</v>
      </c>
      <c r="B134" s="532">
        <v>46091</v>
      </c>
      <c r="C134" s="533">
        <v>47501</v>
      </c>
      <c r="D134" s="528"/>
      <c r="E134" s="533">
        <v>1934</v>
      </c>
      <c r="F134" s="530"/>
      <c r="G134" s="296">
        <v>2050203</v>
      </c>
      <c r="H134" s="296" t="s">
        <v>294</v>
      </c>
      <c r="I134" s="354">
        <v>47501.2</v>
      </c>
      <c r="J134" s="296">
        <f>ROUND(I134,0)</f>
        <v>47501</v>
      </c>
      <c r="K134" s="296">
        <f>VLOOKUP(G134,'[2]Sheet1 (2)'!$H:$I,2,0)</f>
        <v>47501.2</v>
      </c>
      <c r="L134" s="354">
        <f t="shared" si="5"/>
        <v>-0.19999999999709</v>
      </c>
      <c r="M134" s="549">
        <v>2050203</v>
      </c>
      <c r="N134" s="543">
        <v>47501.2</v>
      </c>
      <c r="O134" s="313">
        <v>2050204</v>
      </c>
      <c r="P134" s="313">
        <v>1131</v>
      </c>
    </row>
    <row r="135" ht="20.1" customHeight="1" spans="1:16">
      <c r="A135" s="531" t="s">
        <v>296</v>
      </c>
      <c r="B135" s="532">
        <v>67255</v>
      </c>
      <c r="C135" s="533">
        <v>73676</v>
      </c>
      <c r="D135" s="528"/>
      <c r="E135" s="533">
        <v>1131</v>
      </c>
      <c r="F135" s="530"/>
      <c r="G135" s="313">
        <v>2050204</v>
      </c>
      <c r="H135" s="313" t="s">
        <v>296</v>
      </c>
      <c r="I135" s="550">
        <v>73676.07</v>
      </c>
      <c r="J135" s="296">
        <f>ROUND(I135,0)</f>
        <v>73676</v>
      </c>
      <c r="K135" s="296">
        <f>VLOOKUP(G135,'[2]Sheet1 (2)'!$H:$I,2,0)</f>
        <v>73676.07</v>
      </c>
      <c r="L135" s="354">
        <f t="shared" si="5"/>
        <v>-0.0700000000069849</v>
      </c>
      <c r="M135" s="549">
        <v>2050204</v>
      </c>
      <c r="N135" s="543">
        <v>73676.07</v>
      </c>
      <c r="O135" s="296">
        <v>2050299</v>
      </c>
      <c r="P135" s="296">
        <v>0</v>
      </c>
    </row>
    <row r="136" ht="20.1" customHeight="1" spans="1:16">
      <c r="A136" s="531" t="s">
        <v>298</v>
      </c>
      <c r="B136" s="532">
        <v>1315</v>
      </c>
      <c r="C136" s="533">
        <v>3506</v>
      </c>
      <c r="D136" s="528"/>
      <c r="E136" s="532"/>
      <c r="F136" s="530"/>
      <c r="G136" s="296">
        <v>2050299</v>
      </c>
      <c r="H136" s="296" t="s">
        <v>298</v>
      </c>
      <c r="I136" s="354">
        <v>3506.39</v>
      </c>
      <c r="J136" s="296">
        <f>ROUND(I136,0)</f>
        <v>3506</v>
      </c>
      <c r="K136" s="296">
        <f>VLOOKUP(G136,'[2]Sheet1 (2)'!$H:$I,2,0)</f>
        <v>3506.39</v>
      </c>
      <c r="L136" s="354">
        <f t="shared" si="5"/>
        <v>-0.389999999999873</v>
      </c>
      <c r="M136" s="549">
        <v>2050299</v>
      </c>
      <c r="N136" s="543">
        <v>3506.39</v>
      </c>
      <c r="O136" s="296">
        <v>2050302</v>
      </c>
      <c r="P136" s="296">
        <v>716.88</v>
      </c>
    </row>
    <row r="137" ht="20.1" customHeight="1" spans="1:16">
      <c r="A137" s="525" t="s">
        <v>300</v>
      </c>
      <c r="B137" s="526">
        <f>SUM(B138)</f>
        <v>6921</v>
      </c>
      <c r="C137" s="527">
        <f>SUM(C138)</f>
        <v>7415</v>
      </c>
      <c r="D137" s="526">
        <f>SUM(D138)</f>
        <v>0</v>
      </c>
      <c r="E137" s="527">
        <f>SUM(E138)</f>
        <v>717</v>
      </c>
      <c r="F137" s="530"/>
      <c r="K137" s="296" t="e">
        <f>VLOOKUP(G137,'[2]Sheet1 (2)'!$H:$I,2,0)</f>
        <v>#N/A</v>
      </c>
      <c r="L137" s="354" t="e">
        <f t="shared" si="5"/>
        <v>#N/A</v>
      </c>
      <c r="M137" s="549">
        <v>2050302</v>
      </c>
      <c r="N137" s="543">
        <v>7414.81</v>
      </c>
      <c r="O137" s="296">
        <v>2050501</v>
      </c>
      <c r="P137" s="296">
        <v>0</v>
      </c>
    </row>
    <row r="138" ht="20.1" customHeight="1" spans="1:16">
      <c r="A138" s="531" t="s">
        <v>301</v>
      </c>
      <c r="B138" s="532">
        <v>6921</v>
      </c>
      <c r="C138" s="533">
        <v>7415</v>
      </c>
      <c r="D138" s="528"/>
      <c r="E138" s="533">
        <v>717</v>
      </c>
      <c r="F138" s="530"/>
      <c r="G138" s="296">
        <v>2050302</v>
      </c>
      <c r="H138" s="296" t="s">
        <v>301</v>
      </c>
      <c r="I138" s="354">
        <v>9284.44</v>
      </c>
      <c r="J138" s="296">
        <f>ROUND(I138,0)</f>
        <v>9284</v>
      </c>
      <c r="K138" s="296">
        <f>VLOOKUP(G138,'[2]Sheet1 (2)'!$H:$I,2,0)</f>
        <v>7414.81</v>
      </c>
      <c r="L138" s="354">
        <f t="shared" si="5"/>
        <v>0.1899999999996</v>
      </c>
      <c r="M138" s="542">
        <v>2050501</v>
      </c>
      <c r="N138" s="543">
        <v>407.33</v>
      </c>
      <c r="O138" s="296">
        <v>2050701</v>
      </c>
      <c r="P138" s="296">
        <v>452</v>
      </c>
    </row>
    <row r="139" ht="20.1" customHeight="1" spans="1:16">
      <c r="A139" s="525" t="s">
        <v>303</v>
      </c>
      <c r="B139" s="526">
        <f>SUM(B140)</f>
        <v>344</v>
      </c>
      <c r="C139" s="527">
        <f>SUM(C140)</f>
        <v>407</v>
      </c>
      <c r="D139" s="528"/>
      <c r="E139" s="529"/>
      <c r="F139" s="530"/>
      <c r="K139" s="296" t="e">
        <f>VLOOKUP(G139,'[2]Sheet1 (2)'!$H:$I,2,0)</f>
        <v>#N/A</v>
      </c>
      <c r="L139" s="354" t="e">
        <f t="shared" ref="L139:L178" si="12">C139-K139</f>
        <v>#N/A</v>
      </c>
      <c r="M139" s="542">
        <v>2050701</v>
      </c>
      <c r="N139" s="543">
        <v>1642.26</v>
      </c>
      <c r="O139" s="296">
        <v>2050799</v>
      </c>
      <c r="P139" s="296">
        <v>0</v>
      </c>
    </row>
    <row r="140" ht="20.1" customHeight="1" spans="1:16">
      <c r="A140" s="531" t="s">
        <v>304</v>
      </c>
      <c r="B140" s="532">
        <v>344</v>
      </c>
      <c r="C140" s="533">
        <v>407</v>
      </c>
      <c r="D140" s="528"/>
      <c r="E140" s="534"/>
      <c r="F140" s="530"/>
      <c r="G140" s="296">
        <v>2050501</v>
      </c>
      <c r="H140" s="296" t="s">
        <v>304</v>
      </c>
      <c r="I140" s="354">
        <v>407.33</v>
      </c>
      <c r="J140" s="296">
        <f>ROUND(I140,0)</f>
        <v>407</v>
      </c>
      <c r="K140" s="296">
        <f>VLOOKUP(G140,'[2]Sheet1 (2)'!$H:$I,2,0)</f>
        <v>407.33</v>
      </c>
      <c r="L140" s="354">
        <f t="shared" si="12"/>
        <v>-0.329999999999984</v>
      </c>
      <c r="M140" s="549">
        <v>2050799</v>
      </c>
      <c r="N140" s="543">
        <v>442.91</v>
      </c>
      <c r="O140" s="296">
        <v>2050801</v>
      </c>
      <c r="P140" s="296">
        <v>0</v>
      </c>
    </row>
    <row r="141" ht="20.1" customHeight="1" spans="1:16">
      <c r="A141" s="525" t="s">
        <v>306</v>
      </c>
      <c r="B141" s="526">
        <f>SUM(B142:B142)</f>
        <v>1504</v>
      </c>
      <c r="C141" s="527">
        <f>SUM(C142:C143)</f>
        <v>2085</v>
      </c>
      <c r="D141" s="526">
        <f t="shared" ref="D141:E141" si="13">SUM(D142:D142)</f>
        <v>0</v>
      </c>
      <c r="E141" s="527">
        <f t="shared" si="13"/>
        <v>452</v>
      </c>
      <c r="F141" s="530"/>
      <c r="K141" s="296" t="e">
        <f>VLOOKUP(G141,'[2]Sheet1 (2)'!$H:$I,2,0)</f>
        <v>#N/A</v>
      </c>
      <c r="L141" s="354" t="e">
        <f t="shared" si="12"/>
        <v>#N/A</v>
      </c>
      <c r="M141" s="542">
        <v>2050801</v>
      </c>
      <c r="N141" s="543">
        <v>1224.52</v>
      </c>
      <c r="O141" s="296">
        <v>2050802</v>
      </c>
      <c r="P141" s="296">
        <v>0</v>
      </c>
    </row>
    <row r="142" ht="20.1" customHeight="1" spans="1:16">
      <c r="A142" s="531" t="s">
        <v>307</v>
      </c>
      <c r="B142" s="532">
        <v>1504</v>
      </c>
      <c r="C142" s="533">
        <v>1642</v>
      </c>
      <c r="D142" s="528"/>
      <c r="E142" s="533">
        <v>452</v>
      </c>
      <c r="F142" s="530"/>
      <c r="G142" s="296">
        <v>2050701</v>
      </c>
      <c r="H142" s="296" t="s">
        <v>307</v>
      </c>
      <c r="I142" s="354">
        <v>1642.26</v>
      </c>
      <c r="J142" s="296">
        <f>ROUND(I142,0)</f>
        <v>1642</v>
      </c>
      <c r="K142" s="296">
        <f>VLOOKUP(G142,'[2]Sheet1 (2)'!$H:$I,2,0)</f>
        <v>1642.26</v>
      </c>
      <c r="L142" s="354">
        <f t="shared" si="12"/>
        <v>-0.259999999999991</v>
      </c>
      <c r="M142" s="551">
        <v>2050802</v>
      </c>
      <c r="N142" s="543">
        <v>592.8</v>
      </c>
      <c r="O142" s="296">
        <v>2050999</v>
      </c>
      <c r="P142" s="296">
        <v>0</v>
      </c>
    </row>
    <row r="143" ht="20.1" customHeight="1" spans="1:16">
      <c r="A143" s="531" t="s">
        <v>309</v>
      </c>
      <c r="B143" s="532"/>
      <c r="C143" s="533">
        <v>443</v>
      </c>
      <c r="D143" s="528"/>
      <c r="E143" s="532"/>
      <c r="F143" s="530"/>
      <c r="G143" s="296">
        <v>2050799</v>
      </c>
      <c r="H143" s="296" t="s">
        <v>309</v>
      </c>
      <c r="I143" s="354">
        <v>442.91</v>
      </c>
      <c r="J143" s="296">
        <f>ROUND(I143,0)</f>
        <v>443</v>
      </c>
      <c r="K143" s="296">
        <f>VLOOKUP(G143,'[2]Sheet1 (2)'!$H:$I,2,0)</f>
        <v>442.91</v>
      </c>
      <c r="L143" s="354">
        <f t="shared" si="12"/>
        <v>0.089999999999975</v>
      </c>
      <c r="M143" s="552">
        <v>2050999</v>
      </c>
      <c r="N143" s="543">
        <v>6779.03</v>
      </c>
      <c r="O143" s="296">
        <v>2059999</v>
      </c>
      <c r="P143" s="296">
        <v>0</v>
      </c>
    </row>
    <row r="144" ht="20.1" customHeight="1" spans="1:16">
      <c r="A144" s="525" t="s">
        <v>311</v>
      </c>
      <c r="B144" s="526">
        <f>SUM(B145:B146)</f>
        <v>1944</v>
      </c>
      <c r="C144" s="527">
        <f>SUM(C145:C146)</f>
        <v>1818</v>
      </c>
      <c r="D144" s="528"/>
      <c r="E144" s="529"/>
      <c r="F144" s="530"/>
      <c r="K144" s="296" t="e">
        <f>VLOOKUP(G144,'[2]Sheet1 (2)'!$H:$I,2,0)</f>
        <v>#N/A</v>
      </c>
      <c r="L144" s="354" t="e">
        <f t="shared" si="12"/>
        <v>#N/A</v>
      </c>
      <c r="M144" s="542">
        <v>2059999</v>
      </c>
      <c r="N144" s="543">
        <v>18411.04</v>
      </c>
      <c r="O144" s="296">
        <v>2060101</v>
      </c>
      <c r="P144" s="296">
        <v>0</v>
      </c>
    </row>
    <row r="145" ht="20.1" customHeight="1" spans="1:16">
      <c r="A145" s="531" t="s">
        <v>312</v>
      </c>
      <c r="B145" s="532">
        <v>1270</v>
      </c>
      <c r="C145" s="533">
        <v>1225</v>
      </c>
      <c r="D145" s="528"/>
      <c r="E145" s="534"/>
      <c r="F145" s="530"/>
      <c r="G145" s="296">
        <v>2050801</v>
      </c>
      <c r="H145" s="296" t="s">
        <v>312</v>
      </c>
      <c r="I145" s="354">
        <v>1224.52</v>
      </c>
      <c r="J145" s="296">
        <f>ROUND(I145,0)</f>
        <v>1225</v>
      </c>
      <c r="K145" s="296">
        <f>VLOOKUP(G145,'[2]Sheet1 (2)'!$H:$I,2,0)</f>
        <v>1224.52</v>
      </c>
      <c r="L145" s="354">
        <f t="shared" si="12"/>
        <v>0.480000000000018</v>
      </c>
      <c r="O145" s="296">
        <v>2060102</v>
      </c>
      <c r="P145" s="296">
        <v>0</v>
      </c>
    </row>
    <row r="146" ht="20.1" customHeight="1" spans="1:16">
      <c r="A146" s="531" t="s">
        <v>314</v>
      </c>
      <c r="B146" s="532">
        <v>674</v>
      </c>
      <c r="C146" s="533">
        <v>593</v>
      </c>
      <c r="D146" s="528"/>
      <c r="E146" s="534"/>
      <c r="F146" s="530"/>
      <c r="G146" s="313">
        <v>2050802</v>
      </c>
      <c r="H146" s="313" t="s">
        <v>314</v>
      </c>
      <c r="I146" s="550">
        <v>592.8</v>
      </c>
      <c r="J146" s="296">
        <f>ROUND(I146,0)</f>
        <v>593</v>
      </c>
      <c r="K146" s="296">
        <f>VLOOKUP(G146,'[2]Sheet1 (2)'!$H:$I,2,0)</f>
        <v>592.8</v>
      </c>
      <c r="L146" s="354">
        <f t="shared" si="12"/>
        <v>0.200000000000045</v>
      </c>
      <c r="O146" s="296">
        <v>2060401</v>
      </c>
      <c r="P146" s="296">
        <v>0</v>
      </c>
    </row>
    <row r="147" ht="20.1" customHeight="1" spans="1:16">
      <c r="A147" s="525" t="s">
        <v>318</v>
      </c>
      <c r="B147" s="526">
        <f>SUM(B148:B148)</f>
        <v>5330</v>
      </c>
      <c r="C147" s="527">
        <f>SUM(C148:C148)</f>
        <v>6779</v>
      </c>
      <c r="D147" s="528"/>
      <c r="E147" s="529"/>
      <c r="F147" s="530"/>
      <c r="G147" s="313"/>
      <c r="H147" s="313"/>
      <c r="I147" s="550"/>
      <c r="K147" s="296" t="e">
        <f>VLOOKUP(G147,'[2]Sheet1 (2)'!$H:$I,2,0)</f>
        <v>#N/A</v>
      </c>
      <c r="L147" s="354" t="e">
        <f t="shared" si="12"/>
        <v>#N/A</v>
      </c>
      <c r="O147" s="296">
        <v>2060404</v>
      </c>
      <c r="P147" s="296">
        <v>0</v>
      </c>
    </row>
    <row r="148" ht="20.1" customHeight="1" spans="1:16">
      <c r="A148" s="531" t="s">
        <v>321</v>
      </c>
      <c r="B148" s="532">
        <v>5330</v>
      </c>
      <c r="C148" s="533">
        <v>6779</v>
      </c>
      <c r="D148" s="528"/>
      <c r="E148" s="534"/>
      <c r="F148" s="530"/>
      <c r="G148" s="296">
        <v>2050999</v>
      </c>
      <c r="H148" s="296" t="s">
        <v>321</v>
      </c>
      <c r="I148" s="354">
        <v>4909.4</v>
      </c>
      <c r="J148" s="296">
        <f>ROUND(I148,0)</f>
        <v>4909</v>
      </c>
      <c r="K148" s="296">
        <f>VLOOKUP(G148,'[2]Sheet1 (2)'!$H:$I,2,0)</f>
        <v>6779.03</v>
      </c>
      <c r="L148" s="354">
        <f t="shared" si="12"/>
        <v>-0.0299999999997453</v>
      </c>
      <c r="O148" s="296">
        <v>2060502</v>
      </c>
      <c r="P148" s="296">
        <v>0</v>
      </c>
    </row>
    <row r="149" ht="20.1" customHeight="1" spans="1:16">
      <c r="A149" s="525" t="s">
        <v>323</v>
      </c>
      <c r="B149" s="526">
        <f>SUM(B150)</f>
        <v>14878</v>
      </c>
      <c r="C149" s="527">
        <f>SUM(C150)</f>
        <v>18411</v>
      </c>
      <c r="D149" s="528"/>
      <c r="E149" s="529"/>
      <c r="F149" s="530"/>
      <c r="K149" s="296" t="e">
        <f>VLOOKUP(G149,'[2]Sheet1 (2)'!$H:$I,2,0)</f>
        <v>#N/A</v>
      </c>
      <c r="L149" s="354" t="e">
        <f t="shared" si="12"/>
        <v>#N/A</v>
      </c>
      <c r="O149" s="296">
        <v>2060701</v>
      </c>
      <c r="P149" s="296">
        <v>0</v>
      </c>
    </row>
    <row r="150" ht="20.1" customHeight="1" spans="1:16">
      <c r="A150" s="531" t="s">
        <v>324</v>
      </c>
      <c r="B150" s="532">
        <v>14878</v>
      </c>
      <c r="C150" s="533">
        <v>18411</v>
      </c>
      <c r="D150" s="528"/>
      <c r="E150" s="535"/>
      <c r="F150" s="530"/>
      <c r="G150" s="296">
        <v>2059999</v>
      </c>
      <c r="H150" s="296" t="s">
        <v>324</v>
      </c>
      <c r="I150" s="354">
        <v>18412.26</v>
      </c>
      <c r="J150" s="296">
        <f>ROUND(I150,0)</f>
        <v>18412</v>
      </c>
      <c r="K150" s="296">
        <f>VLOOKUP(G150,'[2]Sheet1 (2)'!$H:$I,2,0)</f>
        <v>18411.04</v>
      </c>
      <c r="L150" s="354">
        <f t="shared" si="12"/>
        <v>-0.0400000000008731</v>
      </c>
      <c r="O150" s="296">
        <v>2060702</v>
      </c>
      <c r="P150" s="296">
        <v>0</v>
      </c>
    </row>
    <row r="151" ht="20.1" customHeight="1" spans="1:16">
      <c r="A151" s="521" t="s">
        <v>326</v>
      </c>
      <c r="B151" s="499">
        <f>B152+B155+B158+B160+B163</f>
        <v>17735</v>
      </c>
      <c r="C151" s="522">
        <f>C152+C155+C158+C160+C163</f>
        <v>18792</v>
      </c>
      <c r="D151" s="523">
        <f>ROUND((C151/B151-1)*100,2)</f>
        <v>5.96</v>
      </c>
      <c r="E151" s="539">
        <f>SUM(E152:E164)</f>
        <v>0</v>
      </c>
      <c r="F151" s="541"/>
      <c r="K151" s="296" t="e">
        <f>VLOOKUP(G151,'[2]Sheet1 (2)'!$H:$I,2,0)</f>
        <v>#N/A</v>
      </c>
      <c r="L151" s="354" t="e">
        <f t="shared" si="12"/>
        <v>#N/A</v>
      </c>
      <c r="O151" s="296">
        <v>2069999</v>
      </c>
      <c r="P151" s="296">
        <v>0</v>
      </c>
    </row>
    <row r="152" ht="20.1" customHeight="1" spans="1:12">
      <c r="A152" s="525" t="s">
        <v>327</v>
      </c>
      <c r="B152" s="526">
        <f>SUM(B153:B154)</f>
        <v>197</v>
      </c>
      <c r="C152" s="527">
        <f>SUM(C153:C154)</f>
        <v>237</v>
      </c>
      <c r="D152" s="528"/>
      <c r="E152" s="529"/>
      <c r="F152" s="530"/>
      <c r="K152" s="296" t="e">
        <f>VLOOKUP(G152,'[2]Sheet1 (2)'!$H:$I,2,0)</f>
        <v>#N/A</v>
      </c>
      <c r="L152" s="354" t="e">
        <f t="shared" si="12"/>
        <v>#N/A</v>
      </c>
    </row>
    <row r="153" ht="20.1" customHeight="1" spans="1:12">
      <c r="A153" s="531" t="s">
        <v>91</v>
      </c>
      <c r="B153" s="532">
        <v>127</v>
      </c>
      <c r="C153" s="533">
        <v>183</v>
      </c>
      <c r="D153" s="528"/>
      <c r="E153" s="534"/>
      <c r="F153" s="530"/>
      <c r="G153" s="296">
        <v>2060101</v>
      </c>
      <c r="H153" s="296" t="s">
        <v>91</v>
      </c>
      <c r="I153" s="354">
        <v>182.8</v>
      </c>
      <c r="J153" s="296">
        <f>ROUND(I153,0)</f>
        <v>183</v>
      </c>
      <c r="K153" s="296">
        <f>VLOOKUP(G153,'[2]Sheet1 (2)'!$H:$I,2,0)</f>
        <v>182.8</v>
      </c>
      <c r="L153" s="354">
        <f t="shared" si="12"/>
        <v>0.199999999999989</v>
      </c>
    </row>
    <row r="154" ht="20.1" customHeight="1" spans="1:12">
      <c r="A154" s="531" t="s">
        <v>93</v>
      </c>
      <c r="B154" s="532">
        <v>70</v>
      </c>
      <c r="C154" s="533">
        <v>54</v>
      </c>
      <c r="D154" s="528"/>
      <c r="E154" s="534"/>
      <c r="F154" s="530"/>
      <c r="G154" s="296">
        <v>2060102</v>
      </c>
      <c r="H154" s="296" t="s">
        <v>93</v>
      </c>
      <c r="I154" s="354">
        <v>54.94</v>
      </c>
      <c r="J154" s="296">
        <f>ROUND(I154,0)</f>
        <v>55</v>
      </c>
      <c r="K154" s="296">
        <f>VLOOKUP(G154,'[2]Sheet1 (2)'!$H:$I,2,0)</f>
        <v>54.94</v>
      </c>
      <c r="L154" s="354">
        <f t="shared" si="12"/>
        <v>-0.939999999999998</v>
      </c>
    </row>
    <row r="155" ht="20.1" customHeight="1" spans="1:12">
      <c r="A155" s="525" t="s">
        <v>330</v>
      </c>
      <c r="B155" s="526">
        <f>SUM(B156:B157)</f>
        <v>6767</v>
      </c>
      <c r="C155" s="527">
        <f>SUM(C156:C157)</f>
        <v>2894</v>
      </c>
      <c r="D155" s="528"/>
      <c r="E155" s="529"/>
      <c r="F155" s="530"/>
      <c r="K155" s="296" t="e">
        <f>VLOOKUP(G155,'[2]Sheet1 (2)'!$H:$I,2,0)</f>
        <v>#N/A</v>
      </c>
      <c r="L155" s="354" t="e">
        <f t="shared" si="12"/>
        <v>#N/A</v>
      </c>
    </row>
    <row r="156" ht="20.1" customHeight="1" spans="1:12">
      <c r="A156" s="531" t="s">
        <v>333</v>
      </c>
      <c r="B156" s="532">
        <v>221</v>
      </c>
      <c r="C156" s="533">
        <v>219</v>
      </c>
      <c r="D156" s="528"/>
      <c r="E156" s="529"/>
      <c r="F156" s="530"/>
      <c r="G156" s="296">
        <v>2060401</v>
      </c>
      <c r="H156" s="296" t="s">
        <v>333</v>
      </c>
      <c r="I156" s="354">
        <v>219.07</v>
      </c>
      <c r="J156" s="296">
        <f>ROUND(I156,0)</f>
        <v>219</v>
      </c>
      <c r="K156" s="296">
        <f>VLOOKUP(G156,'[2]Sheet1 (2)'!$H:$I,2,0)</f>
        <v>219.07</v>
      </c>
      <c r="L156" s="354">
        <f t="shared" si="12"/>
        <v>-0.0699999999999932</v>
      </c>
    </row>
    <row r="157" ht="20.1" customHeight="1" spans="1:12">
      <c r="A157" s="531" t="s">
        <v>334</v>
      </c>
      <c r="B157" s="532">
        <v>6546</v>
      </c>
      <c r="C157" s="533">
        <v>2675</v>
      </c>
      <c r="D157" s="528"/>
      <c r="E157" s="534"/>
      <c r="F157" s="530"/>
      <c r="G157" s="296">
        <v>2060404</v>
      </c>
      <c r="H157" s="296" t="s">
        <v>334</v>
      </c>
      <c r="I157" s="354">
        <v>2675</v>
      </c>
      <c r="J157" s="296">
        <f>ROUND(I157,0)</f>
        <v>2675</v>
      </c>
      <c r="K157" s="296">
        <f>VLOOKUP(G157,'[2]Sheet1 (2)'!$H:$I,2,0)</f>
        <v>2675</v>
      </c>
      <c r="L157" s="354">
        <f t="shared" si="12"/>
        <v>0</v>
      </c>
    </row>
    <row r="158" ht="30" customHeight="1" spans="1:12">
      <c r="A158" s="525" t="s">
        <v>338</v>
      </c>
      <c r="B158" s="526">
        <f>B159</f>
        <v>170</v>
      </c>
      <c r="C158" s="527">
        <f>C159</f>
        <v>134</v>
      </c>
      <c r="D158" s="528"/>
      <c r="E158" s="529"/>
      <c r="F158" s="530"/>
      <c r="K158" s="296" t="e">
        <f>VLOOKUP(G158,'[2]Sheet1 (2)'!$H:$I,2,0)</f>
        <v>#N/A</v>
      </c>
      <c r="L158" s="354" t="e">
        <f t="shared" si="12"/>
        <v>#N/A</v>
      </c>
    </row>
    <row r="159" ht="20.1" customHeight="1" spans="1:12">
      <c r="A159" s="531" t="s">
        <v>339</v>
      </c>
      <c r="B159" s="532">
        <v>170</v>
      </c>
      <c r="C159" s="533">
        <v>134</v>
      </c>
      <c r="D159" s="528"/>
      <c r="E159" s="534"/>
      <c r="F159" s="530"/>
      <c r="G159" s="296">
        <v>2060502</v>
      </c>
      <c r="H159" s="296" t="s">
        <v>339</v>
      </c>
      <c r="I159" s="354">
        <v>134</v>
      </c>
      <c r="J159" s="296">
        <f>ROUND(I159,0)</f>
        <v>134</v>
      </c>
      <c r="K159" s="296">
        <f>VLOOKUP(G159,'[2]Sheet1 (2)'!$H:$I,2,0)</f>
        <v>134</v>
      </c>
      <c r="L159" s="354">
        <f t="shared" si="12"/>
        <v>0</v>
      </c>
    </row>
    <row r="160" ht="19.5" customHeight="1" spans="1:12">
      <c r="A160" s="525" t="s">
        <v>341</v>
      </c>
      <c r="B160" s="526">
        <f>SUM(B161:B162)</f>
        <v>601</v>
      </c>
      <c r="C160" s="527">
        <f>SUM(C161:C162)</f>
        <v>527</v>
      </c>
      <c r="D160" s="528"/>
      <c r="E160" s="529"/>
      <c r="F160" s="530"/>
      <c r="K160" s="296" t="e">
        <f>VLOOKUP(G160,'[2]Sheet1 (2)'!$H:$I,2,0)</f>
        <v>#N/A</v>
      </c>
      <c r="L160" s="354" t="e">
        <f t="shared" si="12"/>
        <v>#N/A</v>
      </c>
    </row>
    <row r="161" ht="19.5" customHeight="1" spans="1:12">
      <c r="A161" s="531" t="s">
        <v>333</v>
      </c>
      <c r="B161" s="532">
        <v>234</v>
      </c>
      <c r="C161" s="533">
        <v>187</v>
      </c>
      <c r="D161" s="528"/>
      <c r="E161" s="534"/>
      <c r="F161" s="530"/>
      <c r="G161" s="296">
        <v>2060701</v>
      </c>
      <c r="H161" s="296" t="s">
        <v>333</v>
      </c>
      <c r="I161" s="354">
        <v>187.13</v>
      </c>
      <c r="J161" s="296">
        <f>ROUND(I161,0)</f>
        <v>187</v>
      </c>
      <c r="K161" s="296">
        <f>VLOOKUP(G161,'[2]Sheet1 (2)'!$H:$I,2,0)</f>
        <v>187.13</v>
      </c>
      <c r="L161" s="354">
        <f t="shared" si="12"/>
        <v>-0.129999999999995</v>
      </c>
    </row>
    <row r="162" ht="19.5" customHeight="1" spans="1:12">
      <c r="A162" s="531" t="s">
        <v>343</v>
      </c>
      <c r="B162" s="532">
        <v>367</v>
      </c>
      <c r="C162" s="533">
        <v>340</v>
      </c>
      <c r="D162" s="528"/>
      <c r="E162" s="534"/>
      <c r="F162" s="530"/>
      <c r="G162" s="296">
        <v>2060702</v>
      </c>
      <c r="H162" s="296" t="s">
        <v>343</v>
      </c>
      <c r="I162" s="354">
        <v>339.59</v>
      </c>
      <c r="J162" s="296">
        <f>ROUND(I162,0)</f>
        <v>340</v>
      </c>
      <c r="K162" s="296">
        <f>VLOOKUP(G162,'[2]Sheet1 (2)'!$H:$I,2,0)</f>
        <v>339.59</v>
      </c>
      <c r="L162" s="354">
        <f t="shared" si="12"/>
        <v>0.410000000000025</v>
      </c>
    </row>
    <row r="163" ht="19.5" customHeight="1" spans="1:12">
      <c r="A163" s="525" t="s">
        <v>966</v>
      </c>
      <c r="B163" s="526">
        <f>SUM(B164)</f>
        <v>10000</v>
      </c>
      <c r="C163" s="527">
        <f>SUM(C164)</f>
        <v>15000</v>
      </c>
      <c r="D163" s="528"/>
      <c r="E163" s="529"/>
      <c r="F163" s="495"/>
      <c r="K163" s="296" t="e">
        <f>VLOOKUP(G163,'[2]Sheet1 (2)'!$H:$I,2,0)</f>
        <v>#N/A</v>
      </c>
      <c r="L163" s="354" t="e">
        <f t="shared" si="12"/>
        <v>#N/A</v>
      </c>
    </row>
    <row r="164" ht="19.5" customHeight="1" spans="1:12">
      <c r="A164" s="544" t="s">
        <v>351</v>
      </c>
      <c r="B164" s="532">
        <v>10000</v>
      </c>
      <c r="C164" s="533">
        <v>15000</v>
      </c>
      <c r="D164" s="528"/>
      <c r="E164" s="534"/>
      <c r="F164" s="495"/>
      <c r="G164" s="296">
        <v>2069999</v>
      </c>
      <c r="H164" s="296" t="s">
        <v>351</v>
      </c>
      <c r="I164" s="354">
        <v>15000</v>
      </c>
      <c r="J164" s="296">
        <f>ROUND(I164,0)</f>
        <v>15000</v>
      </c>
      <c r="K164" s="296">
        <f>VLOOKUP(G164,'[2]Sheet1 (2)'!$H:$I,2,0)</f>
        <v>15000</v>
      </c>
      <c r="L164" s="354">
        <f t="shared" si="12"/>
        <v>0</v>
      </c>
    </row>
    <row r="165" ht="19.5" customHeight="1" spans="1:12">
      <c r="A165" s="521" t="s">
        <v>353</v>
      </c>
      <c r="B165" s="499">
        <f>B166+B174+B178+B182+B186</f>
        <v>8327</v>
      </c>
      <c r="C165" s="522">
        <f>C166+C174+C178+C182+C186</f>
        <v>9122</v>
      </c>
      <c r="D165" s="523">
        <f>ROUND((C165/B165-1)*100,2)</f>
        <v>9.55</v>
      </c>
      <c r="E165" s="499">
        <f>E166+E174+E178+E182+E186</f>
        <v>1149</v>
      </c>
      <c r="F165" s="541"/>
      <c r="K165" s="296" t="e">
        <f>VLOOKUP(G165,'[2]Sheet1 (2)'!$H:$I,2,0)</f>
        <v>#N/A</v>
      </c>
      <c r="L165" s="354" t="e">
        <f t="shared" si="12"/>
        <v>#N/A</v>
      </c>
    </row>
    <row r="166" ht="19.5" customHeight="1" spans="1:12">
      <c r="A166" s="525" t="s">
        <v>355</v>
      </c>
      <c r="B166" s="526">
        <f>SUM(B167:B173)</f>
        <v>2432</v>
      </c>
      <c r="C166" s="527">
        <f>SUM(C167:C173)</f>
        <v>2675</v>
      </c>
      <c r="D166" s="526">
        <f>SUM(D167:D173)</f>
        <v>0</v>
      </c>
      <c r="E166" s="526">
        <f>SUM(E167:E173)</f>
        <v>964</v>
      </c>
      <c r="F166" s="530"/>
      <c r="K166" s="296" t="e">
        <f>VLOOKUP(G166,'[2]Sheet1 (2)'!$H:$I,2,0)</f>
        <v>#N/A</v>
      </c>
      <c r="L166" s="354" t="e">
        <f t="shared" si="12"/>
        <v>#N/A</v>
      </c>
    </row>
    <row r="167" ht="19.5" customHeight="1" spans="1:16">
      <c r="A167" s="531" t="s">
        <v>91</v>
      </c>
      <c r="B167" s="532">
        <v>528</v>
      </c>
      <c r="C167" s="533">
        <v>509</v>
      </c>
      <c r="D167" s="528"/>
      <c r="E167" s="533"/>
      <c r="F167" s="530"/>
      <c r="G167" s="296">
        <v>2070101</v>
      </c>
      <c r="H167" s="296" t="s">
        <v>91</v>
      </c>
      <c r="I167" s="354">
        <v>509.49</v>
      </c>
      <c r="J167" s="296">
        <f t="shared" ref="J167:J173" si="14">ROUND(I167,0)</f>
        <v>509</v>
      </c>
      <c r="K167" s="296">
        <f>VLOOKUP(G167,'[2]Sheet1 (2)'!$H:$I,2,0)</f>
        <v>509.49</v>
      </c>
      <c r="L167" s="354">
        <f t="shared" si="12"/>
        <v>-0.490000000000009</v>
      </c>
      <c r="O167" s="296">
        <v>2070101</v>
      </c>
      <c r="P167" s="296">
        <v>0</v>
      </c>
    </row>
    <row r="168" ht="20.1" customHeight="1" spans="1:16">
      <c r="A168" s="531" t="s">
        <v>93</v>
      </c>
      <c r="B168" s="532">
        <v>140</v>
      </c>
      <c r="C168" s="533">
        <v>116</v>
      </c>
      <c r="D168" s="528"/>
      <c r="E168" s="533"/>
      <c r="F168" s="530"/>
      <c r="G168" s="296">
        <v>2070102</v>
      </c>
      <c r="H168" s="296" t="s">
        <v>93</v>
      </c>
      <c r="I168" s="354">
        <v>116.14</v>
      </c>
      <c r="J168" s="296">
        <f t="shared" si="14"/>
        <v>116</v>
      </c>
      <c r="K168" s="296">
        <f>VLOOKUP(G168,'[2]Sheet1 (2)'!$H:$I,2,0)</f>
        <v>116.14</v>
      </c>
      <c r="L168" s="354">
        <f t="shared" si="12"/>
        <v>-0.140000000000001</v>
      </c>
      <c r="O168" s="296">
        <v>2070102</v>
      </c>
      <c r="P168" s="296">
        <v>0</v>
      </c>
    </row>
    <row r="169" ht="20.1" customHeight="1" spans="1:16">
      <c r="A169" s="531" t="s">
        <v>358</v>
      </c>
      <c r="B169" s="532">
        <v>523</v>
      </c>
      <c r="C169" s="533">
        <v>443</v>
      </c>
      <c r="D169" s="528"/>
      <c r="E169" s="533"/>
      <c r="F169" s="530"/>
      <c r="G169" s="296">
        <v>2070104</v>
      </c>
      <c r="H169" s="296" t="s">
        <v>358</v>
      </c>
      <c r="I169" s="354">
        <v>443.4</v>
      </c>
      <c r="J169" s="296">
        <f t="shared" si="14"/>
        <v>443</v>
      </c>
      <c r="K169" s="296">
        <f>VLOOKUP(G169,'[2]Sheet1 (2)'!$H:$I,2,0)</f>
        <v>443.4</v>
      </c>
      <c r="L169" s="354">
        <f t="shared" si="12"/>
        <v>-0.399999999999977</v>
      </c>
      <c r="O169" s="296">
        <v>2070104</v>
      </c>
      <c r="P169" s="296">
        <v>0</v>
      </c>
    </row>
    <row r="170" ht="20.1" customHeight="1" spans="1:16">
      <c r="A170" s="531" t="s">
        <v>364</v>
      </c>
      <c r="B170" s="532">
        <v>194</v>
      </c>
      <c r="C170" s="533">
        <v>121</v>
      </c>
      <c r="D170" s="528"/>
      <c r="E170" s="533">
        <v>4</v>
      </c>
      <c r="F170" s="530"/>
      <c r="G170" s="296">
        <v>2070108</v>
      </c>
      <c r="H170" s="296" t="s">
        <v>364</v>
      </c>
      <c r="I170" s="354">
        <v>221</v>
      </c>
      <c r="J170" s="296">
        <f t="shared" si="14"/>
        <v>221</v>
      </c>
      <c r="K170" s="296">
        <f>VLOOKUP(G170,'[2]Sheet1 (2)'!$H:$I,2,0)</f>
        <v>121</v>
      </c>
      <c r="L170" s="354">
        <f t="shared" si="12"/>
        <v>0</v>
      </c>
      <c r="O170" s="313">
        <v>2070109</v>
      </c>
      <c r="P170" s="313">
        <v>890</v>
      </c>
    </row>
    <row r="171" ht="20.1" customHeight="1" spans="1:16">
      <c r="A171" s="531" t="s">
        <v>366</v>
      </c>
      <c r="B171" s="532">
        <v>414</v>
      </c>
      <c r="C171" s="533">
        <v>502</v>
      </c>
      <c r="D171" s="528"/>
      <c r="E171" s="533">
        <v>890</v>
      </c>
      <c r="F171" s="530"/>
      <c r="G171" s="296">
        <v>2070109</v>
      </c>
      <c r="H171" s="296" t="s">
        <v>366</v>
      </c>
      <c r="I171" s="354">
        <v>401.63</v>
      </c>
      <c r="J171" s="296">
        <f t="shared" si="14"/>
        <v>402</v>
      </c>
      <c r="K171" s="296">
        <f>VLOOKUP(G171,'[2]Sheet1 (2)'!$H:$I,2,0)</f>
        <v>501.63</v>
      </c>
      <c r="L171" s="354">
        <f t="shared" si="12"/>
        <v>0.370000000000005</v>
      </c>
      <c r="O171" s="296">
        <v>2070111</v>
      </c>
      <c r="P171" s="296">
        <v>20</v>
      </c>
    </row>
    <row r="172" ht="20.1" customHeight="1" spans="1:16">
      <c r="A172" s="531" t="s">
        <v>370</v>
      </c>
      <c r="B172" s="532"/>
      <c r="C172" s="533">
        <v>20</v>
      </c>
      <c r="D172" s="528"/>
      <c r="E172" s="533">
        <v>20</v>
      </c>
      <c r="F172" s="530"/>
      <c r="G172" s="296">
        <v>2070111</v>
      </c>
      <c r="H172" s="296" t="s">
        <v>370</v>
      </c>
      <c r="I172" s="354">
        <v>20</v>
      </c>
      <c r="J172" s="296">
        <f t="shared" si="14"/>
        <v>20</v>
      </c>
      <c r="K172" s="296">
        <f>VLOOKUP(G172,'[2]Sheet1 (2)'!$H:$I,2,0)</f>
        <v>20</v>
      </c>
      <c r="L172" s="354">
        <f t="shared" si="12"/>
        <v>0</v>
      </c>
      <c r="O172" s="296">
        <v>2070199</v>
      </c>
      <c r="P172" s="296">
        <v>50</v>
      </c>
    </row>
    <row r="173" ht="20.1" customHeight="1" spans="1:16">
      <c r="A173" s="531" t="s">
        <v>377</v>
      </c>
      <c r="B173" s="532">
        <v>633</v>
      </c>
      <c r="C173" s="533">
        <v>964</v>
      </c>
      <c r="D173" s="528"/>
      <c r="E173" s="533">
        <v>50</v>
      </c>
      <c r="F173" s="530"/>
      <c r="G173" s="296">
        <v>2070199</v>
      </c>
      <c r="H173" s="296" t="s">
        <v>377</v>
      </c>
      <c r="I173" s="354">
        <v>963.66</v>
      </c>
      <c r="J173" s="296">
        <f t="shared" si="14"/>
        <v>964</v>
      </c>
      <c r="K173" s="296">
        <f>VLOOKUP(G173,'[2]Sheet1 (2)'!$H:$I,2,0)</f>
        <v>963.66</v>
      </c>
      <c r="L173" s="354">
        <f t="shared" si="12"/>
        <v>0.340000000000032</v>
      </c>
      <c r="O173" s="296">
        <v>2070204</v>
      </c>
      <c r="P173" s="296">
        <v>185</v>
      </c>
    </row>
    <row r="174" ht="20.1" customHeight="1" spans="1:16">
      <c r="A174" s="525" t="s">
        <v>379</v>
      </c>
      <c r="B174" s="526">
        <f>SUM(B175:B176)</f>
        <v>947</v>
      </c>
      <c r="C174" s="527">
        <f>SUM(C175:C177)</f>
        <v>830</v>
      </c>
      <c r="D174" s="526">
        <f t="shared" ref="D174:E174" si="15">SUM(D175:D176)</f>
        <v>0</v>
      </c>
      <c r="E174" s="527">
        <f t="shared" si="15"/>
        <v>185</v>
      </c>
      <c r="F174" s="530"/>
      <c r="K174" s="296" t="e">
        <f>VLOOKUP(G174,'[2]Sheet1 (2)'!$H:$I,2,0)</f>
        <v>#N/A</v>
      </c>
      <c r="L174" s="354" t="e">
        <f t="shared" si="12"/>
        <v>#N/A</v>
      </c>
      <c r="O174" s="296">
        <v>2070205</v>
      </c>
      <c r="P174" s="296">
        <v>0</v>
      </c>
    </row>
    <row r="175" ht="20.1" customHeight="1" spans="1:16">
      <c r="A175" s="531" t="s">
        <v>380</v>
      </c>
      <c r="B175" s="532">
        <v>386</v>
      </c>
      <c r="C175" s="533">
        <v>310</v>
      </c>
      <c r="D175" s="528"/>
      <c r="E175" s="533">
        <v>185</v>
      </c>
      <c r="F175" s="530"/>
      <c r="G175" s="296">
        <v>2070204</v>
      </c>
      <c r="H175" s="296" t="s">
        <v>380</v>
      </c>
      <c r="I175" s="354">
        <v>310</v>
      </c>
      <c r="J175" s="296">
        <f>ROUND(I175,0)</f>
        <v>310</v>
      </c>
      <c r="K175" s="296">
        <f>VLOOKUP(G175,'[2]Sheet1 (2)'!$H:$I,2,0)</f>
        <v>310</v>
      </c>
      <c r="L175" s="354">
        <f t="shared" si="12"/>
        <v>0</v>
      </c>
      <c r="O175" s="296">
        <v>2070206</v>
      </c>
      <c r="P175" s="296">
        <v>0</v>
      </c>
    </row>
    <row r="176" ht="20.1" customHeight="1" spans="1:16">
      <c r="A176" s="531" t="s">
        <v>382</v>
      </c>
      <c r="B176" s="532">
        <v>561</v>
      </c>
      <c r="C176" s="533">
        <v>390</v>
      </c>
      <c r="D176" s="528"/>
      <c r="E176" s="535"/>
      <c r="F176" s="530"/>
      <c r="G176" s="296">
        <v>2070205</v>
      </c>
      <c r="H176" s="296" t="s">
        <v>382</v>
      </c>
      <c r="I176" s="354">
        <v>389.96</v>
      </c>
      <c r="J176" s="296">
        <f>ROUND(I176,0)</f>
        <v>390</v>
      </c>
      <c r="K176" s="296">
        <f>VLOOKUP(G176,'[2]Sheet1 (2)'!$H:$I,2,0)</f>
        <v>389.96</v>
      </c>
      <c r="L176" s="354">
        <f t="shared" si="12"/>
        <v>0.0400000000000205</v>
      </c>
      <c r="O176" s="296">
        <v>2070308</v>
      </c>
      <c r="P176" s="296">
        <v>0</v>
      </c>
    </row>
    <row r="177" ht="20.1" customHeight="1" spans="1:16">
      <c r="A177" s="531" t="s">
        <v>384</v>
      </c>
      <c r="B177" s="532"/>
      <c r="C177" s="533">
        <v>130</v>
      </c>
      <c r="D177" s="528"/>
      <c r="E177" s="535"/>
      <c r="F177" s="530"/>
      <c r="G177" s="313">
        <v>2070206</v>
      </c>
      <c r="H177" s="313" t="s">
        <v>384</v>
      </c>
      <c r="I177" s="550">
        <v>129.7</v>
      </c>
      <c r="J177" s="296">
        <f>ROUND(I177,0)</f>
        <v>130</v>
      </c>
      <c r="K177" s="296">
        <f>VLOOKUP(G177,'[2]Sheet1 (2)'!$H:$I,2,0)</f>
        <v>129.7</v>
      </c>
      <c r="L177" s="354">
        <f t="shared" si="12"/>
        <v>0.300000000000011</v>
      </c>
      <c r="O177" s="296">
        <v>2070399</v>
      </c>
      <c r="P177" s="296">
        <v>0</v>
      </c>
    </row>
    <row r="178" ht="20.1" customHeight="1" spans="1:16">
      <c r="A178" s="525" t="s">
        <v>388</v>
      </c>
      <c r="B178" s="526">
        <f>SUM(B179:B180)</f>
        <v>567</v>
      </c>
      <c r="C178" s="527">
        <f>SUM(C179:C181)</f>
        <v>1153</v>
      </c>
      <c r="D178" s="526">
        <f>SUM(D179:D180)</f>
        <v>0</v>
      </c>
      <c r="E178" s="526">
        <f>SUM(E179:E180)</f>
        <v>0</v>
      </c>
      <c r="F178" s="530"/>
      <c r="G178" s="313"/>
      <c r="H178" s="313"/>
      <c r="I178" s="550"/>
      <c r="K178" s="296" t="e">
        <f>VLOOKUP(G178,'[2]Sheet1 (2)'!$H:$I,2,0)</f>
        <v>#N/A</v>
      </c>
      <c r="L178" s="354" t="e">
        <f t="shared" si="12"/>
        <v>#N/A</v>
      </c>
      <c r="O178" s="296">
        <v>2070802</v>
      </c>
      <c r="P178" s="296">
        <v>0</v>
      </c>
    </row>
    <row r="179" ht="30.75" customHeight="1" spans="1:16">
      <c r="A179" s="531" t="s">
        <v>393</v>
      </c>
      <c r="B179" s="532">
        <v>248</v>
      </c>
      <c r="C179" s="533"/>
      <c r="D179" s="528"/>
      <c r="E179" s="532"/>
      <c r="F179" s="530"/>
      <c r="G179" s="313"/>
      <c r="H179" s="313"/>
      <c r="I179" s="550"/>
      <c r="K179" s="296" t="e">
        <f>VLOOKUP(G179,'[2]Sheet1 (2)'!$H:$I,2,0)</f>
        <v>#N/A</v>
      </c>
      <c r="L179" s="354" t="e">
        <f t="shared" ref="L179:L199" si="16">C179-K179</f>
        <v>#N/A</v>
      </c>
      <c r="O179" s="296">
        <v>2079903</v>
      </c>
      <c r="P179" s="296">
        <v>0</v>
      </c>
    </row>
    <row r="180" ht="24" customHeight="1" spans="1:12">
      <c r="A180" s="531" t="s">
        <v>395</v>
      </c>
      <c r="B180" s="532">
        <v>319</v>
      </c>
      <c r="C180" s="533">
        <v>999</v>
      </c>
      <c r="D180" s="528"/>
      <c r="E180" s="534"/>
      <c r="F180" s="530"/>
      <c r="G180" s="296">
        <v>2070308</v>
      </c>
      <c r="H180" s="296" t="s">
        <v>395</v>
      </c>
      <c r="I180" s="354">
        <v>951.11</v>
      </c>
      <c r="J180" s="296">
        <f>ROUND(I180,0)</f>
        <v>951</v>
      </c>
      <c r="K180" s="296">
        <f>VLOOKUP(G180,'[2]Sheet1 (2)'!$H:$I,2,0)</f>
        <v>999.01</v>
      </c>
      <c r="L180" s="354">
        <f t="shared" si="16"/>
        <v>-0.00999999999999091</v>
      </c>
    </row>
    <row r="181" ht="19.5" customHeight="1" spans="1:12">
      <c r="A181" s="531" t="s">
        <v>967</v>
      </c>
      <c r="B181" s="532"/>
      <c r="C181" s="533">
        <v>154</v>
      </c>
      <c r="D181" s="528"/>
      <c r="E181" s="534"/>
      <c r="F181" s="530"/>
      <c r="G181" s="296">
        <v>2070399</v>
      </c>
      <c r="H181" s="296" t="s">
        <v>967</v>
      </c>
      <c r="I181" s="354">
        <v>154</v>
      </c>
      <c r="J181" s="296">
        <f>ROUND(I181,0)</f>
        <v>154</v>
      </c>
      <c r="K181" s="296">
        <f>VLOOKUP(G181,'[2]Sheet1 (2)'!$H:$I,2,0)</f>
        <v>154</v>
      </c>
      <c r="L181" s="354">
        <f t="shared" si="16"/>
        <v>0</v>
      </c>
    </row>
    <row r="182" ht="19.5" customHeight="1" spans="1:12">
      <c r="A182" s="525" t="s">
        <v>397</v>
      </c>
      <c r="B182" s="526">
        <f>SUM(B183:B185)</f>
        <v>1381</v>
      </c>
      <c r="C182" s="527">
        <f>SUM(C183:C185)</f>
        <v>1464</v>
      </c>
      <c r="D182" s="528"/>
      <c r="E182" s="529"/>
      <c r="F182" s="530"/>
      <c r="K182" s="296" t="e">
        <f>VLOOKUP(G182,'[2]Sheet1 (2)'!$H:$I,2,0)</f>
        <v>#N/A</v>
      </c>
      <c r="L182" s="354" t="e">
        <f t="shared" si="16"/>
        <v>#N/A</v>
      </c>
    </row>
    <row r="183" ht="19.5" customHeight="1" spans="1:12">
      <c r="A183" s="531" t="s">
        <v>93</v>
      </c>
      <c r="B183" s="532">
        <v>258</v>
      </c>
      <c r="C183" s="533">
        <v>96</v>
      </c>
      <c r="D183" s="528"/>
      <c r="E183" s="534"/>
      <c r="F183" s="530"/>
      <c r="G183" s="296">
        <v>2070802</v>
      </c>
      <c r="H183" s="296" t="s">
        <v>93</v>
      </c>
      <c r="I183" s="354">
        <v>95.91</v>
      </c>
      <c r="J183" s="296">
        <f>ROUND(I183,0)</f>
        <v>96</v>
      </c>
      <c r="K183" s="296">
        <f>VLOOKUP(G183,'[2]Sheet1 (2)'!$H:$I,2,0)</f>
        <v>95.91</v>
      </c>
      <c r="L183" s="354">
        <f t="shared" si="16"/>
        <v>0.0900000000000034</v>
      </c>
    </row>
    <row r="184" ht="19.5" customHeight="1" spans="1:12">
      <c r="A184" s="545" t="s">
        <v>399</v>
      </c>
      <c r="B184" s="532">
        <v>392</v>
      </c>
      <c r="C184" s="533"/>
      <c r="D184" s="528"/>
      <c r="E184" s="534"/>
      <c r="F184" s="530"/>
      <c r="K184" s="296" t="e">
        <f>VLOOKUP(G184,'[2]Sheet1 (2)'!$H:$I,2,0)</f>
        <v>#N/A</v>
      </c>
      <c r="L184" s="354" t="e">
        <f t="shared" si="16"/>
        <v>#N/A</v>
      </c>
    </row>
    <row r="185" ht="19.5" customHeight="1" spans="1:12">
      <c r="A185" s="531" t="s">
        <v>401</v>
      </c>
      <c r="B185" s="532">
        <v>731</v>
      </c>
      <c r="C185" s="533">
        <v>1368</v>
      </c>
      <c r="D185" s="528"/>
      <c r="E185" s="535"/>
      <c r="F185" s="530"/>
      <c r="G185" s="296">
        <v>2070899</v>
      </c>
      <c r="H185" s="296" t="s">
        <v>401</v>
      </c>
      <c r="I185" s="354">
        <v>1217.99</v>
      </c>
      <c r="J185" s="296">
        <f>ROUND(I185,0)</f>
        <v>1218</v>
      </c>
      <c r="K185" s="296">
        <f>VLOOKUP(G185,'[2]Sheet1 (2)'!$H:$I,2,0)</f>
        <v>1367.99</v>
      </c>
      <c r="L185" s="354">
        <f t="shared" si="16"/>
        <v>0.00999999999999091</v>
      </c>
    </row>
    <row r="186" ht="19.5" customHeight="1" spans="1:12">
      <c r="A186" s="525" t="s">
        <v>403</v>
      </c>
      <c r="B186" s="526">
        <f>B187</f>
        <v>3000</v>
      </c>
      <c r="C186" s="527">
        <f>C187</f>
        <v>3000</v>
      </c>
      <c r="D186" s="546"/>
      <c r="E186" s="529"/>
      <c r="F186" s="547"/>
      <c r="K186" s="296" t="e">
        <f>VLOOKUP(G186,'[2]Sheet1 (2)'!$H:$I,2,0)</f>
        <v>#N/A</v>
      </c>
      <c r="L186" s="354" t="e">
        <f t="shared" si="16"/>
        <v>#N/A</v>
      </c>
    </row>
    <row r="187" ht="19.5" customHeight="1" spans="1:12">
      <c r="A187" s="531" t="s">
        <v>406</v>
      </c>
      <c r="B187" s="532">
        <v>3000</v>
      </c>
      <c r="C187" s="533">
        <v>3000</v>
      </c>
      <c r="D187" s="528"/>
      <c r="E187" s="535"/>
      <c r="F187" s="530"/>
      <c r="G187" s="296">
        <v>2079903</v>
      </c>
      <c r="H187" s="296" t="s">
        <v>406</v>
      </c>
      <c r="I187" s="354">
        <v>3000</v>
      </c>
      <c r="J187" s="296">
        <f>ROUND(I187,0)</f>
        <v>3000</v>
      </c>
      <c r="K187" s="296">
        <f>VLOOKUP(G187,'[2]Sheet1 (2)'!$H:$I,2,0)</f>
        <v>3000</v>
      </c>
      <c r="L187" s="354">
        <f t="shared" si="16"/>
        <v>0</v>
      </c>
    </row>
    <row r="188" ht="20.1" customHeight="1" spans="1:12">
      <c r="A188" s="521" t="s">
        <v>410</v>
      </c>
      <c r="B188" s="499">
        <f>B189+B196+B203+B210+B213+B217+B222+B229+B236+B239+B242+B245+B250+B253+B259</f>
        <v>124711</v>
      </c>
      <c r="C188" s="522">
        <f>C189+C196+C203+C210+C213+C217+C222+C229+C236+C239+C242+C245+C250+C253+C259+C248</f>
        <v>125567</v>
      </c>
      <c r="D188" s="523">
        <f>ROUND((C188/B188-1)*100,2)</f>
        <v>0.69</v>
      </c>
      <c r="E188" s="522">
        <f>E189+E196+E203+E210+E213+E217+E222+E229+E236+E239+E242+E245+E250+E253+E259</f>
        <v>45323</v>
      </c>
      <c r="F188" s="548"/>
      <c r="K188" s="296" t="e">
        <f>VLOOKUP(G188,'[2]Sheet1 (2)'!$H:$I,2,0)</f>
        <v>#N/A</v>
      </c>
      <c r="L188" s="354" t="e">
        <f t="shared" si="16"/>
        <v>#N/A</v>
      </c>
    </row>
    <row r="189" ht="20.1" customHeight="1" spans="1:12">
      <c r="A189" s="525" t="s">
        <v>411</v>
      </c>
      <c r="B189" s="526">
        <f>SUM(B190:B195)</f>
        <v>7938</v>
      </c>
      <c r="C189" s="527">
        <f>SUM(C190:C195)</f>
        <v>7872</v>
      </c>
      <c r="D189" s="526">
        <f>SUM(D190:D195)</f>
        <v>0</v>
      </c>
      <c r="E189" s="526">
        <f>SUM(E190:E195)</f>
        <v>0</v>
      </c>
      <c r="F189" s="524"/>
      <c r="K189" s="296" t="e">
        <f>VLOOKUP(G189,'[2]Sheet1 (2)'!$H:$I,2,0)</f>
        <v>#N/A</v>
      </c>
      <c r="L189" s="354" t="e">
        <f t="shared" si="16"/>
        <v>#N/A</v>
      </c>
    </row>
    <row r="190" ht="20.1" customHeight="1" spans="1:16">
      <c r="A190" s="531" t="s">
        <v>91</v>
      </c>
      <c r="B190" s="532">
        <v>381</v>
      </c>
      <c r="C190" s="533">
        <v>420</v>
      </c>
      <c r="D190" s="528"/>
      <c r="E190" s="534"/>
      <c r="F190" s="524"/>
      <c r="G190" s="296">
        <v>2080101</v>
      </c>
      <c r="H190" s="296" t="s">
        <v>91</v>
      </c>
      <c r="I190" s="354">
        <v>420.25</v>
      </c>
      <c r="J190" s="296">
        <f t="shared" ref="J190:J195" si="17">ROUND(I190,0)</f>
        <v>420</v>
      </c>
      <c r="K190" s="296">
        <f>VLOOKUP(G190,'[2]Sheet1 (2)'!$H:$I,2,0)</f>
        <v>420.25</v>
      </c>
      <c r="L190" s="354">
        <f t="shared" si="16"/>
        <v>-0.25</v>
      </c>
      <c r="M190" s="296">
        <v>2080101</v>
      </c>
      <c r="N190" s="296">
        <v>420.25</v>
      </c>
      <c r="O190" s="296">
        <v>2080101</v>
      </c>
      <c r="P190" s="296">
        <v>0</v>
      </c>
    </row>
    <row r="191" ht="20.1" customHeight="1" spans="1:16">
      <c r="A191" s="531" t="s">
        <v>93</v>
      </c>
      <c r="B191" s="532">
        <v>126</v>
      </c>
      <c r="C191" s="533">
        <v>219</v>
      </c>
      <c r="D191" s="528"/>
      <c r="E191" s="534"/>
      <c r="F191" s="530"/>
      <c r="G191" s="296">
        <v>2080102</v>
      </c>
      <c r="H191" s="296" t="s">
        <v>93</v>
      </c>
      <c r="I191" s="354">
        <v>104.1</v>
      </c>
      <c r="J191" s="296">
        <f t="shared" si="17"/>
        <v>104</v>
      </c>
      <c r="K191" s="296">
        <f>VLOOKUP(G191,'[2]Sheet1 (2)'!$H:$I,2,0)</f>
        <v>219.1</v>
      </c>
      <c r="L191" s="354">
        <f t="shared" si="16"/>
        <v>-0.0999999999999943</v>
      </c>
      <c r="M191" s="296">
        <v>2080102</v>
      </c>
      <c r="N191" s="296">
        <v>219.1</v>
      </c>
      <c r="O191" s="296">
        <v>2080102</v>
      </c>
      <c r="P191" s="296">
        <v>0</v>
      </c>
    </row>
    <row r="192" ht="20.1" customHeight="1" spans="1:16">
      <c r="A192" s="531" t="s">
        <v>414</v>
      </c>
      <c r="B192" s="532">
        <v>80</v>
      </c>
      <c r="C192" s="533">
        <v>62</v>
      </c>
      <c r="D192" s="528"/>
      <c r="E192" s="535"/>
      <c r="F192" s="530"/>
      <c r="G192" s="296">
        <v>2080109</v>
      </c>
      <c r="H192" s="296" t="s">
        <v>414</v>
      </c>
      <c r="I192" s="354">
        <v>62</v>
      </c>
      <c r="J192" s="296">
        <f t="shared" si="17"/>
        <v>62</v>
      </c>
      <c r="K192" s="296">
        <f>VLOOKUP(G192,'[2]Sheet1 (2)'!$H:$I,2,0)</f>
        <v>62</v>
      </c>
      <c r="L192" s="354">
        <f t="shared" si="16"/>
        <v>0</v>
      </c>
      <c r="M192" s="296">
        <v>2080116</v>
      </c>
      <c r="N192" s="296">
        <v>5000</v>
      </c>
      <c r="O192" s="296">
        <v>2080116</v>
      </c>
      <c r="P192" s="296">
        <v>0</v>
      </c>
    </row>
    <row r="193" ht="20.1" customHeight="1" spans="1:16">
      <c r="A193" s="531" t="s">
        <v>416</v>
      </c>
      <c r="B193" s="532">
        <v>5000</v>
      </c>
      <c r="C193" s="533">
        <v>5000</v>
      </c>
      <c r="D193" s="528"/>
      <c r="E193" s="534"/>
      <c r="F193" s="530"/>
      <c r="G193" s="296">
        <v>2080116</v>
      </c>
      <c r="H193" s="296" t="s">
        <v>416</v>
      </c>
      <c r="I193" s="354">
        <v>5000</v>
      </c>
      <c r="J193" s="296">
        <f t="shared" si="17"/>
        <v>5000</v>
      </c>
      <c r="K193" s="296">
        <f>VLOOKUP(G193,'[2]Sheet1 (2)'!$H:$I,2,0)</f>
        <v>5000</v>
      </c>
      <c r="L193" s="354">
        <f t="shared" si="16"/>
        <v>0</v>
      </c>
      <c r="M193" s="296">
        <v>2080150</v>
      </c>
      <c r="N193" s="296">
        <v>1361.16</v>
      </c>
      <c r="O193" s="296">
        <v>2080150</v>
      </c>
      <c r="P193" s="296">
        <v>0</v>
      </c>
    </row>
    <row r="194" ht="20.1" customHeight="1" spans="1:16">
      <c r="A194" s="531" t="s">
        <v>101</v>
      </c>
      <c r="B194" s="532">
        <v>1458</v>
      </c>
      <c r="C194" s="533">
        <v>1361</v>
      </c>
      <c r="D194" s="528"/>
      <c r="E194" s="534"/>
      <c r="F194" s="530"/>
      <c r="G194" s="296">
        <v>2080150</v>
      </c>
      <c r="H194" s="296" t="s">
        <v>101</v>
      </c>
      <c r="I194" s="354">
        <v>1361.16</v>
      </c>
      <c r="J194" s="296">
        <f t="shared" si="17"/>
        <v>1361</v>
      </c>
      <c r="K194" s="296">
        <f>VLOOKUP(G194,'[2]Sheet1 (2)'!$H:$I,2,0)</f>
        <v>1361.16</v>
      </c>
      <c r="L194" s="354">
        <f t="shared" si="16"/>
        <v>-0.160000000000082</v>
      </c>
      <c r="M194" s="296">
        <v>2080199</v>
      </c>
      <c r="N194" s="296">
        <v>810.04</v>
      </c>
      <c r="O194" s="296">
        <v>2080199</v>
      </c>
      <c r="P194" s="296">
        <v>0</v>
      </c>
    </row>
    <row r="195" ht="20.1" customHeight="1" spans="1:16">
      <c r="A195" s="531" t="s">
        <v>419</v>
      </c>
      <c r="B195" s="532">
        <v>893</v>
      </c>
      <c r="C195" s="533">
        <v>810</v>
      </c>
      <c r="D195" s="528"/>
      <c r="E195" s="534"/>
      <c r="F195" s="530"/>
      <c r="G195" s="296">
        <v>2080199</v>
      </c>
      <c r="H195" s="296" t="s">
        <v>419</v>
      </c>
      <c r="I195" s="354">
        <v>810.04</v>
      </c>
      <c r="J195" s="296">
        <f t="shared" si="17"/>
        <v>810</v>
      </c>
      <c r="K195" s="296">
        <f>VLOOKUP(G195,'[2]Sheet1 (2)'!$H:$I,2,0)</f>
        <v>810.04</v>
      </c>
      <c r="L195" s="354">
        <f t="shared" si="16"/>
        <v>-0.0399999999999636</v>
      </c>
      <c r="M195" s="296">
        <v>2080201</v>
      </c>
      <c r="N195" s="296">
        <v>311.64</v>
      </c>
      <c r="O195" s="296">
        <v>2080201</v>
      </c>
      <c r="P195" s="296">
        <v>0</v>
      </c>
    </row>
    <row r="196" ht="20.1" customHeight="1" spans="1:16">
      <c r="A196" s="525" t="s">
        <v>421</v>
      </c>
      <c r="B196" s="526">
        <f>SUM(B197:B200)</f>
        <v>1180</v>
      </c>
      <c r="C196" s="527">
        <f>SUM(C197:C202)</f>
        <v>1184</v>
      </c>
      <c r="D196" s="528"/>
      <c r="E196" s="527">
        <f>SUM(E197:E202)</f>
        <v>156</v>
      </c>
      <c r="F196" s="530"/>
      <c r="K196" s="296" t="e">
        <f>VLOOKUP(G196,'[2]Sheet1 (2)'!$H:$I,2,0)</f>
        <v>#N/A</v>
      </c>
      <c r="L196" s="354" t="e">
        <f t="shared" si="16"/>
        <v>#N/A</v>
      </c>
      <c r="M196" s="296">
        <v>2080202</v>
      </c>
      <c r="N196" s="296">
        <v>89</v>
      </c>
      <c r="O196" s="296">
        <v>2080202</v>
      </c>
      <c r="P196" s="296">
        <v>0</v>
      </c>
    </row>
    <row r="197" ht="20.1" customHeight="1" spans="1:16">
      <c r="A197" s="531" t="s">
        <v>91</v>
      </c>
      <c r="B197" s="532">
        <v>958</v>
      </c>
      <c r="C197" s="533">
        <v>312</v>
      </c>
      <c r="D197" s="528"/>
      <c r="E197" s="534"/>
      <c r="F197" s="530"/>
      <c r="G197" s="296">
        <v>2080201</v>
      </c>
      <c r="H197" s="296" t="s">
        <v>91</v>
      </c>
      <c r="I197" s="354">
        <v>947.1</v>
      </c>
      <c r="J197" s="296">
        <f>ROUND(I197,0)</f>
        <v>947</v>
      </c>
      <c r="K197" s="296">
        <f>VLOOKUP(G197,'[2]Sheet1 (2)'!$H:$I,2,0)</f>
        <v>311.64</v>
      </c>
      <c r="L197" s="354">
        <f t="shared" si="16"/>
        <v>0.360000000000014</v>
      </c>
      <c r="M197" s="296">
        <v>2080206</v>
      </c>
      <c r="N197" s="296">
        <v>8</v>
      </c>
      <c r="O197" s="296">
        <v>2080206</v>
      </c>
      <c r="P197" s="296">
        <v>0</v>
      </c>
    </row>
    <row r="198" ht="20.1" customHeight="1" spans="1:16">
      <c r="A198" s="531" t="s">
        <v>93</v>
      </c>
      <c r="B198" s="532">
        <v>212</v>
      </c>
      <c r="C198" s="533">
        <v>89</v>
      </c>
      <c r="D198" s="528"/>
      <c r="E198" s="534"/>
      <c r="F198" s="530"/>
      <c r="G198" s="296">
        <v>2080202</v>
      </c>
      <c r="H198" s="296" t="s">
        <v>93</v>
      </c>
      <c r="I198" s="354">
        <v>89</v>
      </c>
      <c r="J198" s="296">
        <f>ROUND(I198,0)</f>
        <v>89</v>
      </c>
      <c r="K198" s="296">
        <f>VLOOKUP(G198,'[2]Sheet1 (2)'!$H:$I,2,0)</f>
        <v>89</v>
      </c>
      <c r="L198" s="354">
        <f t="shared" si="16"/>
        <v>0</v>
      </c>
      <c r="M198" s="296">
        <v>2080207</v>
      </c>
      <c r="N198" s="296">
        <v>5</v>
      </c>
      <c r="O198" s="296">
        <v>2080207</v>
      </c>
      <c r="P198" s="296">
        <v>0</v>
      </c>
    </row>
    <row r="199" ht="20.1" customHeight="1" spans="1:16">
      <c r="A199" s="531" t="s">
        <v>424</v>
      </c>
      <c r="B199" s="532">
        <v>10</v>
      </c>
      <c r="C199" s="533">
        <v>8</v>
      </c>
      <c r="D199" s="528"/>
      <c r="E199" s="534"/>
      <c r="F199" s="530"/>
      <c r="G199" s="296">
        <v>2080206</v>
      </c>
      <c r="H199" s="296" t="s">
        <v>424</v>
      </c>
      <c r="I199" s="354">
        <v>8</v>
      </c>
      <c r="J199" s="296">
        <f>ROUND(I199,0)</f>
        <v>8</v>
      </c>
      <c r="K199" s="296">
        <f>VLOOKUP(G199,'[2]Sheet1 (2)'!$H:$I,2,0)</f>
        <v>8</v>
      </c>
      <c r="L199" s="354">
        <f t="shared" si="16"/>
        <v>0</v>
      </c>
      <c r="M199" s="296">
        <v>2080208</v>
      </c>
      <c r="N199" s="296">
        <v>0</v>
      </c>
      <c r="O199" s="296">
        <v>2080208</v>
      </c>
      <c r="P199" s="296">
        <v>156</v>
      </c>
    </row>
    <row r="200" ht="20.1" customHeight="1" spans="1:16">
      <c r="A200" s="531" t="s">
        <v>426</v>
      </c>
      <c r="B200" s="140"/>
      <c r="C200" s="533">
        <v>5</v>
      </c>
      <c r="D200" s="528"/>
      <c r="E200" s="534"/>
      <c r="F200" s="530"/>
      <c r="G200" s="296">
        <v>2080207</v>
      </c>
      <c r="H200" s="296" t="s">
        <v>426</v>
      </c>
      <c r="I200" s="354">
        <v>5</v>
      </c>
      <c r="J200" s="296">
        <f>ROUND(I200,0)</f>
        <v>5</v>
      </c>
      <c r="K200" s="296">
        <f>VLOOKUP(G200,'[2]Sheet1 (2)'!$H:$I,2,0)</f>
        <v>5</v>
      </c>
      <c r="L200" s="354">
        <f t="shared" ref="L200:L265" si="18">C200-K200</f>
        <v>0</v>
      </c>
      <c r="M200" s="296">
        <v>2080299</v>
      </c>
      <c r="N200" s="296">
        <v>770.26</v>
      </c>
      <c r="O200" s="296">
        <v>2080299</v>
      </c>
      <c r="P200" s="296">
        <v>0</v>
      </c>
    </row>
    <row r="201" ht="20.1" customHeight="1" spans="1:12">
      <c r="A201" s="531" t="s">
        <v>428</v>
      </c>
      <c r="B201" s="140"/>
      <c r="C201" s="533"/>
      <c r="D201" s="528"/>
      <c r="E201" s="533">
        <v>156</v>
      </c>
      <c r="F201" s="530"/>
      <c r="L201" s="354"/>
    </row>
    <row r="202" ht="20.1" customHeight="1" spans="1:16">
      <c r="A202" s="531" t="s">
        <v>430</v>
      </c>
      <c r="B202" s="140"/>
      <c r="C202" s="533">
        <v>770</v>
      </c>
      <c r="D202" s="528"/>
      <c r="E202" s="534"/>
      <c r="F202" s="530"/>
      <c r="G202" s="296">
        <v>2080299</v>
      </c>
      <c r="H202" s="296" t="s">
        <v>430</v>
      </c>
      <c r="I202" s="354">
        <v>134.8</v>
      </c>
      <c r="J202" s="296">
        <f>ROUND(I202,0)</f>
        <v>135</v>
      </c>
      <c r="K202" s="296">
        <f>VLOOKUP(G202,'[2]Sheet1 (2)'!$H:$I,2,0)</f>
        <v>770.26</v>
      </c>
      <c r="L202" s="354">
        <f t="shared" si="18"/>
        <v>-0.259999999999991</v>
      </c>
      <c r="M202" s="296">
        <v>2080501</v>
      </c>
      <c r="N202" s="296">
        <v>5396.31</v>
      </c>
      <c r="O202" s="296">
        <v>2080501</v>
      </c>
      <c r="P202" s="296">
        <v>0</v>
      </c>
    </row>
    <row r="203" ht="20.1" customHeight="1" spans="1:16">
      <c r="A203" s="525" t="s">
        <v>431</v>
      </c>
      <c r="B203" s="526">
        <f>SUM(B204:B209)</f>
        <v>68877</v>
      </c>
      <c r="C203" s="527">
        <f>SUM(C204:C209)</f>
        <v>70276</v>
      </c>
      <c r="D203" s="528"/>
      <c r="E203" s="529"/>
      <c r="F203" s="530"/>
      <c r="K203" s="296" t="e">
        <f>VLOOKUP(G203,'[2]Sheet1 (2)'!$H:$I,2,0)</f>
        <v>#N/A</v>
      </c>
      <c r="L203" s="354" t="e">
        <f t="shared" si="18"/>
        <v>#N/A</v>
      </c>
      <c r="M203" s="296">
        <v>2080502</v>
      </c>
      <c r="N203" s="296">
        <v>16264.6736</v>
      </c>
      <c r="O203" s="296">
        <v>2080502</v>
      </c>
      <c r="P203" s="296">
        <v>0</v>
      </c>
    </row>
    <row r="204" ht="20.1" customHeight="1" spans="1:16">
      <c r="A204" s="531" t="s">
        <v>432</v>
      </c>
      <c r="B204" s="532">
        <v>5181</v>
      </c>
      <c r="C204" s="533">
        <v>5396</v>
      </c>
      <c r="D204" s="528"/>
      <c r="E204" s="534"/>
      <c r="F204" s="530"/>
      <c r="G204" s="296">
        <v>2080501</v>
      </c>
      <c r="H204" s="296" t="s">
        <v>432</v>
      </c>
      <c r="I204" s="354">
        <v>5396.31</v>
      </c>
      <c r="J204" s="296">
        <f>ROUND(I204,0)</f>
        <v>5396</v>
      </c>
      <c r="K204" s="296">
        <f>VLOOKUP(G204,'[2]Sheet1 (2)'!$H:$I,2,0)</f>
        <v>5396.31</v>
      </c>
      <c r="L204" s="354">
        <f t="shared" si="18"/>
        <v>-0.3100000000004</v>
      </c>
      <c r="M204" s="296">
        <v>2080505</v>
      </c>
      <c r="N204" s="296">
        <v>41177.951</v>
      </c>
      <c r="O204" s="296">
        <v>2080505</v>
      </c>
      <c r="P204" s="296">
        <v>0</v>
      </c>
    </row>
    <row r="205" ht="20.1" customHeight="1" spans="1:16">
      <c r="A205" s="531" t="s">
        <v>434</v>
      </c>
      <c r="B205" s="532">
        <v>15602</v>
      </c>
      <c r="C205" s="533">
        <v>16265</v>
      </c>
      <c r="D205" s="528"/>
      <c r="E205" s="534"/>
      <c r="F205" s="530"/>
      <c r="G205" s="296">
        <v>2080502</v>
      </c>
      <c r="H205" s="296" t="s">
        <v>434</v>
      </c>
      <c r="I205" s="354">
        <v>16240.2636</v>
      </c>
      <c r="J205" s="296">
        <f>ROUND(I205,0)</f>
        <v>16240</v>
      </c>
      <c r="K205" s="296">
        <f>VLOOKUP(G205,'[2]Sheet1 (2)'!$H:$I,2,0)</f>
        <v>16264.6736</v>
      </c>
      <c r="L205" s="354">
        <f t="shared" si="18"/>
        <v>0.326399999999921</v>
      </c>
      <c r="M205" s="296">
        <v>2080599</v>
      </c>
      <c r="N205" s="296">
        <v>7436.9</v>
      </c>
      <c r="O205" s="296">
        <v>2080599</v>
      </c>
      <c r="P205" s="296">
        <v>0</v>
      </c>
    </row>
    <row r="206" ht="20.1" customHeight="1" spans="1:16">
      <c r="A206" s="531" t="s">
        <v>436</v>
      </c>
      <c r="B206" s="532">
        <v>22</v>
      </c>
      <c r="C206" s="533"/>
      <c r="D206" s="528"/>
      <c r="E206" s="534"/>
      <c r="F206" s="530"/>
      <c r="K206" s="296" t="e">
        <f>VLOOKUP(G206,'[2]Sheet1 (2)'!$H:$I,2,0)</f>
        <v>#N/A</v>
      </c>
      <c r="L206" s="354" t="e">
        <f t="shared" si="18"/>
        <v>#N/A</v>
      </c>
      <c r="M206" s="296">
        <v>2080799</v>
      </c>
      <c r="N206" s="296">
        <v>989.35</v>
      </c>
      <c r="O206" s="296">
        <v>2080799</v>
      </c>
      <c r="P206" s="296">
        <v>0</v>
      </c>
    </row>
    <row r="207" ht="20.1" customHeight="1" spans="1:16">
      <c r="A207" s="531" t="s">
        <v>438</v>
      </c>
      <c r="B207" s="532">
        <v>39914</v>
      </c>
      <c r="C207" s="533">
        <v>41178</v>
      </c>
      <c r="D207" s="528"/>
      <c r="E207" s="534"/>
      <c r="F207" s="530"/>
      <c r="G207" s="296">
        <v>2080505</v>
      </c>
      <c r="H207" s="296" t="s">
        <v>438</v>
      </c>
      <c r="I207" s="354">
        <v>41177.951</v>
      </c>
      <c r="J207" s="296">
        <f>ROUND(I207,0)</f>
        <v>41178</v>
      </c>
      <c r="K207" s="296">
        <f>VLOOKUP(G207,'[2]Sheet1 (2)'!$H:$I,2,0)</f>
        <v>41177.951</v>
      </c>
      <c r="L207" s="354">
        <f t="shared" si="18"/>
        <v>0.0489999999990687</v>
      </c>
      <c r="M207" s="296">
        <v>2080801</v>
      </c>
      <c r="N207" s="296">
        <v>1400</v>
      </c>
      <c r="O207" s="296">
        <v>2080801</v>
      </c>
      <c r="P207" s="296">
        <v>0</v>
      </c>
    </row>
    <row r="208" ht="20.1" customHeight="1" spans="1:16">
      <c r="A208" s="531" t="s">
        <v>442</v>
      </c>
      <c r="B208" s="532">
        <v>10</v>
      </c>
      <c r="C208" s="533"/>
      <c r="D208" s="528"/>
      <c r="E208" s="534"/>
      <c r="F208" s="530"/>
      <c r="K208" s="296" t="e">
        <f>VLOOKUP(G208,'[2]Sheet1 (2)'!$H:$I,2,0)</f>
        <v>#N/A</v>
      </c>
      <c r="L208" s="354" t="e">
        <f t="shared" si="18"/>
        <v>#N/A</v>
      </c>
      <c r="M208" s="296">
        <v>2080805</v>
      </c>
      <c r="N208" s="296">
        <v>2586</v>
      </c>
      <c r="O208" s="296">
        <v>2080805</v>
      </c>
      <c r="P208" s="296">
        <v>704</v>
      </c>
    </row>
    <row r="209" ht="20.1" customHeight="1" spans="1:16">
      <c r="A209" s="531" t="s">
        <v>968</v>
      </c>
      <c r="B209" s="532">
        <v>8148</v>
      </c>
      <c r="C209" s="533">
        <v>7437</v>
      </c>
      <c r="D209" s="528"/>
      <c r="E209" s="534"/>
      <c r="F209" s="530"/>
      <c r="G209" s="296">
        <v>2080599</v>
      </c>
      <c r="H209" s="296" t="s">
        <v>446</v>
      </c>
      <c r="I209" s="354">
        <v>7436.9</v>
      </c>
      <c r="J209" s="296">
        <f>ROUND(I209,0)</f>
        <v>7437</v>
      </c>
      <c r="K209" s="296">
        <f>VLOOKUP(G209,'[2]Sheet1 (2)'!$H:$I,2,0)</f>
        <v>7436.9</v>
      </c>
      <c r="L209" s="354">
        <f t="shared" si="18"/>
        <v>0.100000000000364</v>
      </c>
      <c r="M209" s="296">
        <v>2080899</v>
      </c>
      <c r="N209" s="296">
        <v>2184</v>
      </c>
      <c r="O209" s="296">
        <v>2080899</v>
      </c>
      <c r="P209" s="296">
        <v>5216.57</v>
      </c>
    </row>
    <row r="210" ht="20.1" customHeight="1" spans="1:16">
      <c r="A210" s="525" t="s">
        <v>448</v>
      </c>
      <c r="B210" s="526">
        <f>SUM(B211:B212)</f>
        <v>1874</v>
      </c>
      <c r="C210" s="527">
        <f>SUM(C211:C212)</f>
        <v>989</v>
      </c>
      <c r="D210" s="526">
        <f t="shared" ref="D210:E210" si="19">SUM(D211:D212)</f>
        <v>0</v>
      </c>
      <c r="E210" s="526">
        <f t="shared" si="19"/>
        <v>0</v>
      </c>
      <c r="F210" s="530"/>
      <c r="K210" s="296" t="e">
        <f>VLOOKUP(G210,'[2]Sheet1 (2)'!$H:$I,2,0)</f>
        <v>#N/A</v>
      </c>
      <c r="L210" s="354" t="e">
        <f t="shared" si="18"/>
        <v>#N/A</v>
      </c>
      <c r="M210" s="296">
        <v>2080901</v>
      </c>
      <c r="N210" s="296">
        <v>2870</v>
      </c>
      <c r="O210" s="296">
        <v>2080901</v>
      </c>
      <c r="P210" s="296">
        <v>134.28</v>
      </c>
    </row>
    <row r="211" ht="20.1" customHeight="1" spans="1:16">
      <c r="A211" s="531" t="s">
        <v>449</v>
      </c>
      <c r="B211" s="532">
        <v>835</v>
      </c>
      <c r="C211" s="533"/>
      <c r="D211" s="528"/>
      <c r="E211" s="534"/>
      <c r="F211" s="530"/>
      <c r="K211" s="296" t="e">
        <f>VLOOKUP(G211,'[2]Sheet1 (2)'!$H:$I,2,0)</f>
        <v>#N/A</v>
      </c>
      <c r="L211" s="354" t="e">
        <f t="shared" si="18"/>
        <v>#N/A</v>
      </c>
      <c r="M211" s="296">
        <v>2080902</v>
      </c>
      <c r="N211" s="296">
        <v>25</v>
      </c>
      <c r="O211" s="296">
        <v>2080902</v>
      </c>
      <c r="P211" s="296">
        <v>0</v>
      </c>
    </row>
    <row r="212" ht="20.1" customHeight="1" spans="1:16">
      <c r="A212" s="531" t="s">
        <v>453</v>
      </c>
      <c r="B212" s="532">
        <v>1039</v>
      </c>
      <c r="C212" s="533">
        <v>989</v>
      </c>
      <c r="D212" s="528"/>
      <c r="E212" s="532"/>
      <c r="F212" s="530"/>
      <c r="G212" s="296">
        <v>2080799</v>
      </c>
      <c r="H212" s="296" t="s">
        <v>453</v>
      </c>
      <c r="I212" s="354">
        <v>989.35</v>
      </c>
      <c r="J212" s="296">
        <f>ROUND(I212,0)</f>
        <v>989</v>
      </c>
      <c r="K212" s="296">
        <f>VLOOKUP(G212,'[2]Sheet1 (2)'!$H:$I,2,0)</f>
        <v>989.35</v>
      </c>
      <c r="L212" s="354">
        <f t="shared" si="18"/>
        <v>-0.350000000000023</v>
      </c>
      <c r="M212" s="296">
        <v>2080905</v>
      </c>
      <c r="N212" s="296">
        <v>66.28</v>
      </c>
      <c r="O212" s="296">
        <v>2080905</v>
      </c>
      <c r="P212" s="296">
        <v>0</v>
      </c>
    </row>
    <row r="213" ht="20.1" customHeight="1" spans="1:16">
      <c r="A213" s="525" t="s">
        <v>455</v>
      </c>
      <c r="B213" s="526">
        <f>SUM(B214:B216)</f>
        <v>8379</v>
      </c>
      <c r="C213" s="527">
        <f>SUM(C214:C216)</f>
        <v>6170</v>
      </c>
      <c r="D213" s="526">
        <f t="shared" ref="D213:E213" si="20">SUM(D214:D216)</f>
        <v>0</v>
      </c>
      <c r="E213" s="526">
        <f t="shared" si="20"/>
        <v>5921</v>
      </c>
      <c r="F213" s="530"/>
      <c r="K213" s="296" t="e">
        <f>VLOOKUP(G213,'[2]Sheet1 (2)'!$H:$I,2,0)</f>
        <v>#N/A</v>
      </c>
      <c r="L213" s="354" t="e">
        <f t="shared" si="18"/>
        <v>#N/A</v>
      </c>
      <c r="M213" s="296">
        <v>2080999</v>
      </c>
      <c r="N213" s="296">
        <v>0</v>
      </c>
      <c r="O213" s="296">
        <v>2080999</v>
      </c>
      <c r="P213" s="296">
        <v>20.13</v>
      </c>
    </row>
    <row r="214" ht="20.1" customHeight="1" spans="1:16">
      <c r="A214" s="531" t="s">
        <v>456</v>
      </c>
      <c r="B214" s="532">
        <v>1400</v>
      </c>
      <c r="C214" s="533">
        <v>1400</v>
      </c>
      <c r="D214" s="528"/>
      <c r="E214" s="534"/>
      <c r="F214" s="530"/>
      <c r="G214" s="296">
        <v>2080801</v>
      </c>
      <c r="H214" s="296" t="s">
        <v>456</v>
      </c>
      <c r="I214" s="354">
        <v>1400</v>
      </c>
      <c r="J214" s="296">
        <f>ROUND(I214,0)</f>
        <v>1400</v>
      </c>
      <c r="K214" s="296">
        <f>VLOOKUP(G214,'[2]Sheet1 (2)'!$H:$I,2,0)</f>
        <v>1400</v>
      </c>
      <c r="L214" s="354">
        <f t="shared" si="18"/>
        <v>0</v>
      </c>
      <c r="M214" s="296">
        <v>2081001</v>
      </c>
      <c r="N214" s="296">
        <v>485.86</v>
      </c>
      <c r="O214" s="296">
        <v>2081001</v>
      </c>
      <c r="P214" s="296">
        <v>730</v>
      </c>
    </row>
    <row r="215" ht="20.1" customHeight="1" spans="1:16">
      <c r="A215" s="531" t="s">
        <v>458</v>
      </c>
      <c r="B215" s="532">
        <v>3016</v>
      </c>
      <c r="C215" s="533">
        <v>2586</v>
      </c>
      <c r="D215" s="528"/>
      <c r="E215" s="533">
        <v>704</v>
      </c>
      <c r="F215" s="530"/>
      <c r="G215" s="296">
        <v>2080805</v>
      </c>
      <c r="H215" s="296" t="s">
        <v>458</v>
      </c>
      <c r="I215" s="354">
        <v>2586</v>
      </c>
      <c r="J215" s="296">
        <f>ROUND(I215,0)</f>
        <v>2586</v>
      </c>
      <c r="K215" s="296">
        <f>VLOOKUP(G215,'[2]Sheet1 (2)'!$H:$I,2,0)</f>
        <v>2586</v>
      </c>
      <c r="L215" s="354">
        <f t="shared" si="18"/>
        <v>0</v>
      </c>
      <c r="M215" s="296">
        <v>2081002</v>
      </c>
      <c r="N215" s="296">
        <v>381.8</v>
      </c>
      <c r="O215" s="296">
        <v>2081002</v>
      </c>
      <c r="P215" s="296">
        <v>0</v>
      </c>
    </row>
    <row r="216" ht="20.1" customHeight="1" spans="1:16">
      <c r="A216" s="531" t="s">
        <v>460</v>
      </c>
      <c r="B216" s="532">
        <v>3963</v>
      </c>
      <c r="C216" s="533">
        <v>2184</v>
      </c>
      <c r="D216" s="528"/>
      <c r="E216" s="533">
        <v>5217</v>
      </c>
      <c r="F216" s="530"/>
      <c r="G216" s="296">
        <v>2080899</v>
      </c>
      <c r="H216" s="296" t="s">
        <v>460</v>
      </c>
      <c r="I216" s="354">
        <v>2184</v>
      </c>
      <c r="J216" s="296">
        <f>ROUND(I216,0)</f>
        <v>2184</v>
      </c>
      <c r="K216" s="296">
        <f>VLOOKUP(G216,'[2]Sheet1 (2)'!$H:$I,2,0)</f>
        <v>2184</v>
      </c>
      <c r="L216" s="354">
        <f t="shared" si="18"/>
        <v>0</v>
      </c>
      <c r="M216" s="296">
        <v>2081004</v>
      </c>
      <c r="N216" s="296">
        <v>5</v>
      </c>
      <c r="O216" s="296">
        <v>2081004</v>
      </c>
      <c r="P216" s="296">
        <v>0</v>
      </c>
    </row>
    <row r="217" ht="20.1" customHeight="1" spans="1:16">
      <c r="A217" s="525" t="s">
        <v>462</v>
      </c>
      <c r="B217" s="526">
        <f>SUM(B218:B220)</f>
        <v>62</v>
      </c>
      <c r="C217" s="527">
        <f>SUM(C218:C221)</f>
        <v>2961</v>
      </c>
      <c r="D217" s="526">
        <f>SUM(D218:D220)</f>
        <v>0</v>
      </c>
      <c r="E217" s="527">
        <f>SUM(E218:E221)</f>
        <v>154</v>
      </c>
      <c r="F217" s="530"/>
      <c r="K217" s="296" t="e">
        <f>VLOOKUP(G217,'[2]Sheet1 (2)'!$H:$I,2,0)</f>
        <v>#N/A</v>
      </c>
      <c r="L217" s="354" t="e">
        <f t="shared" si="18"/>
        <v>#N/A</v>
      </c>
      <c r="M217" s="296">
        <v>2081005</v>
      </c>
      <c r="N217" s="296">
        <v>78</v>
      </c>
      <c r="O217" s="296">
        <v>2081005</v>
      </c>
      <c r="P217" s="296">
        <v>0</v>
      </c>
    </row>
    <row r="218" ht="20.1" customHeight="1" spans="1:16">
      <c r="A218" s="531" t="s">
        <v>463</v>
      </c>
      <c r="B218" s="140"/>
      <c r="C218" s="533">
        <v>2870</v>
      </c>
      <c r="D218" s="528"/>
      <c r="E218" s="533">
        <v>134</v>
      </c>
      <c r="F218" s="530"/>
      <c r="G218" s="296">
        <v>2080901</v>
      </c>
      <c r="H218" s="296" t="s">
        <v>463</v>
      </c>
      <c r="I218" s="354">
        <v>2870</v>
      </c>
      <c r="J218" s="296">
        <f>ROUND(I218,0)</f>
        <v>2870</v>
      </c>
      <c r="K218" s="296">
        <f>VLOOKUP(G218,'[2]Sheet1 (2)'!$H:$I,2,0)</f>
        <v>2870</v>
      </c>
      <c r="L218" s="354">
        <f t="shared" si="18"/>
        <v>0</v>
      </c>
      <c r="M218" s="296">
        <v>2081006</v>
      </c>
      <c r="N218" s="296">
        <v>402.2</v>
      </c>
      <c r="O218" s="296">
        <v>2081006</v>
      </c>
      <c r="P218" s="296">
        <v>0</v>
      </c>
    </row>
    <row r="219" ht="20.1" customHeight="1" spans="1:16">
      <c r="A219" s="531" t="s">
        <v>465</v>
      </c>
      <c r="B219" s="140"/>
      <c r="C219" s="533">
        <v>25</v>
      </c>
      <c r="D219" s="528"/>
      <c r="E219" s="532"/>
      <c r="F219" s="530"/>
      <c r="G219" s="296">
        <v>2080902</v>
      </c>
      <c r="H219" s="296" t="s">
        <v>465</v>
      </c>
      <c r="I219" s="354">
        <v>25</v>
      </c>
      <c r="J219" s="296">
        <f>ROUND(I219,0)</f>
        <v>25</v>
      </c>
      <c r="K219" s="296">
        <f>VLOOKUP(G219,'[2]Sheet1 (2)'!$H:$I,2,0)</f>
        <v>25</v>
      </c>
      <c r="L219" s="354">
        <f t="shared" si="18"/>
        <v>0</v>
      </c>
      <c r="M219" s="296">
        <v>2081099</v>
      </c>
      <c r="N219" s="296">
        <v>222</v>
      </c>
      <c r="O219" s="296">
        <v>2081099</v>
      </c>
      <c r="P219" s="296">
        <v>0</v>
      </c>
    </row>
    <row r="220" ht="20.1" customHeight="1" spans="1:16">
      <c r="A220" s="531" t="s">
        <v>469</v>
      </c>
      <c r="B220" s="532">
        <v>62</v>
      </c>
      <c r="C220" s="533">
        <v>66</v>
      </c>
      <c r="D220" s="528"/>
      <c r="E220" s="535"/>
      <c r="F220" s="530"/>
      <c r="G220" s="296">
        <v>2080905</v>
      </c>
      <c r="H220" s="296" t="s">
        <v>469</v>
      </c>
      <c r="I220" s="354">
        <v>66.28</v>
      </c>
      <c r="J220" s="296">
        <f>ROUND(I220,0)</f>
        <v>66</v>
      </c>
      <c r="K220" s="296">
        <f>VLOOKUP(G220,'[2]Sheet1 (2)'!$H:$I,2,0)</f>
        <v>66.28</v>
      </c>
      <c r="L220" s="354">
        <f t="shared" si="18"/>
        <v>-0.280000000000001</v>
      </c>
      <c r="M220" s="296">
        <v>2081101</v>
      </c>
      <c r="N220" s="296">
        <v>150.71</v>
      </c>
      <c r="O220" s="296">
        <v>2081101</v>
      </c>
      <c r="P220" s="296">
        <v>0</v>
      </c>
    </row>
    <row r="221" ht="20.1" customHeight="1" spans="1:16">
      <c r="A221" s="531" t="s">
        <v>471</v>
      </c>
      <c r="B221" s="532"/>
      <c r="C221" s="533"/>
      <c r="D221" s="528"/>
      <c r="E221" s="533">
        <v>20</v>
      </c>
      <c r="F221" s="530"/>
      <c r="K221" s="296" t="e">
        <f>VLOOKUP(G221,'[2]Sheet1 (2)'!$H:$I,2,0)</f>
        <v>#N/A</v>
      </c>
      <c r="L221" s="354" t="e">
        <f t="shared" si="18"/>
        <v>#N/A</v>
      </c>
      <c r="M221" s="296">
        <v>2081102</v>
      </c>
      <c r="N221" s="296">
        <v>112</v>
      </c>
      <c r="O221" s="296">
        <v>2081102</v>
      </c>
      <c r="P221" s="296">
        <v>0</v>
      </c>
    </row>
    <row r="222" ht="20.1" customHeight="1" spans="1:16">
      <c r="A222" s="525" t="s">
        <v>473</v>
      </c>
      <c r="B222" s="526">
        <f>SUM(B223:B228)</f>
        <v>2709</v>
      </c>
      <c r="C222" s="527">
        <f>SUM(C223:C228)</f>
        <v>1575</v>
      </c>
      <c r="D222" s="526">
        <f>SUM(D223:D228)</f>
        <v>0</v>
      </c>
      <c r="E222" s="527">
        <f>SUM(E223:E228)</f>
        <v>730</v>
      </c>
      <c r="F222" s="530"/>
      <c r="K222" s="296" t="e">
        <f>VLOOKUP(G222,'[2]Sheet1 (2)'!$H:$I,2,0)</f>
        <v>#N/A</v>
      </c>
      <c r="L222" s="354" t="e">
        <f t="shared" si="18"/>
        <v>#N/A</v>
      </c>
      <c r="M222" s="296">
        <v>2081104</v>
      </c>
      <c r="N222" s="296">
        <v>390</v>
      </c>
      <c r="O222" s="296">
        <v>2081104</v>
      </c>
      <c r="P222" s="296">
        <v>0</v>
      </c>
    </row>
    <row r="223" ht="20.1" customHeight="1" spans="1:16">
      <c r="A223" s="531" t="s">
        <v>474</v>
      </c>
      <c r="B223" s="532">
        <v>390</v>
      </c>
      <c r="C223" s="533">
        <v>486</v>
      </c>
      <c r="D223" s="528"/>
      <c r="E223" s="533">
        <v>730</v>
      </c>
      <c r="F223" s="530"/>
      <c r="G223" s="296">
        <v>2081001</v>
      </c>
      <c r="H223" s="296" t="s">
        <v>474</v>
      </c>
      <c r="I223" s="354">
        <v>485.86</v>
      </c>
      <c r="J223" s="296">
        <f t="shared" ref="J223:J228" si="21">ROUND(I223,0)</f>
        <v>486</v>
      </c>
      <c r="K223" s="296">
        <f>VLOOKUP(G223,'[2]Sheet1 (2)'!$H:$I,2,0)</f>
        <v>485.86</v>
      </c>
      <c r="L223" s="354">
        <f t="shared" si="18"/>
        <v>0.139999999999986</v>
      </c>
      <c r="M223" s="296">
        <v>2081105</v>
      </c>
      <c r="N223" s="296">
        <v>30</v>
      </c>
      <c r="O223" s="296">
        <v>2081105</v>
      </c>
      <c r="P223" s="296">
        <v>0</v>
      </c>
    </row>
    <row r="224" ht="20.1" customHeight="1" spans="1:16">
      <c r="A224" s="531" t="s">
        <v>476</v>
      </c>
      <c r="B224" s="532">
        <v>2234</v>
      </c>
      <c r="C224" s="533">
        <v>382</v>
      </c>
      <c r="D224" s="528"/>
      <c r="E224" s="532"/>
      <c r="F224" s="530"/>
      <c r="G224" s="296">
        <v>2081002</v>
      </c>
      <c r="H224" s="296" t="s">
        <v>476</v>
      </c>
      <c r="I224" s="354">
        <v>381.8</v>
      </c>
      <c r="J224" s="296">
        <f t="shared" si="21"/>
        <v>382</v>
      </c>
      <c r="K224" s="296">
        <f>VLOOKUP(G224,'[2]Sheet1 (2)'!$H:$I,2,0)</f>
        <v>381.8</v>
      </c>
      <c r="L224" s="354">
        <f t="shared" si="18"/>
        <v>0.199999999999989</v>
      </c>
      <c r="M224" s="296">
        <v>2081107</v>
      </c>
      <c r="N224" s="296">
        <v>1190</v>
      </c>
      <c r="O224" s="296">
        <v>2081107</v>
      </c>
      <c r="P224" s="296">
        <v>1533</v>
      </c>
    </row>
    <row r="225" ht="20.1" customHeight="1" spans="1:16">
      <c r="A225" s="531" t="s">
        <v>478</v>
      </c>
      <c r="B225" s="532">
        <v>10</v>
      </c>
      <c r="C225" s="533">
        <v>5</v>
      </c>
      <c r="D225" s="528"/>
      <c r="E225" s="534"/>
      <c r="F225" s="530"/>
      <c r="G225" s="296">
        <v>2081004</v>
      </c>
      <c r="H225" s="296" t="s">
        <v>478</v>
      </c>
      <c r="I225" s="354">
        <v>5</v>
      </c>
      <c r="J225" s="296">
        <f t="shared" si="21"/>
        <v>5</v>
      </c>
      <c r="K225" s="296">
        <f>VLOOKUP(G225,'[2]Sheet1 (2)'!$H:$I,2,0)</f>
        <v>5</v>
      </c>
      <c r="L225" s="354">
        <f t="shared" si="18"/>
        <v>0</v>
      </c>
      <c r="M225" s="296">
        <v>2081199</v>
      </c>
      <c r="N225" s="296">
        <v>680.83</v>
      </c>
      <c r="O225" s="296">
        <v>2081199</v>
      </c>
      <c r="P225" s="296">
        <v>125</v>
      </c>
    </row>
    <row r="226" ht="20.1" customHeight="1" spans="1:16">
      <c r="A226" s="531" t="s">
        <v>969</v>
      </c>
      <c r="B226" s="532"/>
      <c r="C226" s="533">
        <v>78</v>
      </c>
      <c r="D226" s="528"/>
      <c r="E226" s="534"/>
      <c r="F226" s="530"/>
      <c r="G226" s="296">
        <v>2081005</v>
      </c>
      <c r="H226" s="296" t="s">
        <v>969</v>
      </c>
      <c r="I226" s="354">
        <v>78</v>
      </c>
      <c r="J226" s="296">
        <f t="shared" si="21"/>
        <v>78</v>
      </c>
      <c r="K226" s="296">
        <f>VLOOKUP(G226,'[2]Sheet1 (2)'!$H:$I,2,0)</f>
        <v>78</v>
      </c>
      <c r="L226" s="354">
        <f t="shared" si="18"/>
        <v>0</v>
      </c>
      <c r="M226" s="296">
        <v>2081601</v>
      </c>
      <c r="N226" s="296">
        <v>86.32</v>
      </c>
      <c r="O226" s="296">
        <v>2081601</v>
      </c>
      <c r="P226" s="296">
        <v>0</v>
      </c>
    </row>
    <row r="227" ht="20.1" customHeight="1" spans="1:16">
      <c r="A227" s="531" t="s">
        <v>480</v>
      </c>
      <c r="B227" s="140"/>
      <c r="C227" s="533">
        <v>402</v>
      </c>
      <c r="D227" s="528"/>
      <c r="E227" s="534"/>
      <c r="F227" s="530"/>
      <c r="G227" s="296">
        <v>2081006</v>
      </c>
      <c r="H227" s="296" t="s">
        <v>480</v>
      </c>
      <c r="I227" s="354">
        <v>402.2</v>
      </c>
      <c r="J227" s="296">
        <f t="shared" si="21"/>
        <v>402</v>
      </c>
      <c r="K227" s="296">
        <f>VLOOKUP(G227,'[2]Sheet1 (2)'!$H:$I,2,0)</f>
        <v>402.2</v>
      </c>
      <c r="L227" s="354">
        <f t="shared" si="18"/>
        <v>-0.199999999999989</v>
      </c>
      <c r="M227" s="296">
        <v>2081602</v>
      </c>
      <c r="N227" s="296">
        <v>35</v>
      </c>
      <c r="O227" s="296">
        <v>2081602</v>
      </c>
      <c r="P227" s="296">
        <v>0</v>
      </c>
    </row>
    <row r="228" ht="20.1" customHeight="1" spans="1:16">
      <c r="A228" s="531" t="s">
        <v>482</v>
      </c>
      <c r="B228" s="532">
        <v>75</v>
      </c>
      <c r="C228" s="533">
        <v>222</v>
      </c>
      <c r="D228" s="528"/>
      <c r="E228" s="534"/>
      <c r="F228" s="530"/>
      <c r="G228" s="296">
        <v>2081099</v>
      </c>
      <c r="H228" s="296" t="s">
        <v>482</v>
      </c>
      <c r="I228" s="354">
        <v>222</v>
      </c>
      <c r="J228" s="296">
        <f t="shared" si="21"/>
        <v>222</v>
      </c>
      <c r="K228" s="296">
        <f>VLOOKUP(G228,'[2]Sheet1 (2)'!$H:$I,2,0)</f>
        <v>222</v>
      </c>
      <c r="L228" s="354">
        <f t="shared" si="18"/>
        <v>0</v>
      </c>
      <c r="M228" s="296">
        <v>2081901</v>
      </c>
      <c r="N228" s="296">
        <v>90</v>
      </c>
      <c r="O228" s="296">
        <v>2081901</v>
      </c>
      <c r="P228" s="296">
        <v>180</v>
      </c>
    </row>
    <row r="229" ht="20.1" customHeight="1" spans="1:16">
      <c r="A229" s="525" t="s">
        <v>484</v>
      </c>
      <c r="B229" s="526">
        <f>SUM(B230:B235)</f>
        <v>1360</v>
      </c>
      <c r="C229" s="527">
        <f>SUM(C230:C235)</f>
        <v>2554</v>
      </c>
      <c r="D229" s="526">
        <f t="shared" ref="D229:E229" si="22">SUM(D230:D235)</f>
        <v>0</v>
      </c>
      <c r="E229" s="527">
        <f t="shared" si="22"/>
        <v>1658</v>
      </c>
      <c r="F229" s="530"/>
      <c r="K229" s="296" t="e">
        <f>VLOOKUP(G229,'[2]Sheet1 (2)'!$H:$I,2,0)</f>
        <v>#N/A</v>
      </c>
      <c r="L229" s="354" t="e">
        <f t="shared" si="18"/>
        <v>#N/A</v>
      </c>
      <c r="M229" s="296">
        <v>2081902</v>
      </c>
      <c r="N229" s="296">
        <v>5631</v>
      </c>
      <c r="O229" s="296">
        <v>2081902</v>
      </c>
      <c r="P229" s="296">
        <v>4062</v>
      </c>
    </row>
    <row r="230" ht="20.1" customHeight="1" spans="1:16">
      <c r="A230" s="531" t="s">
        <v>91</v>
      </c>
      <c r="B230" s="532">
        <v>368</v>
      </c>
      <c r="C230" s="533">
        <v>151</v>
      </c>
      <c r="D230" s="528"/>
      <c r="E230" s="534"/>
      <c r="F230" s="530"/>
      <c r="G230" s="296">
        <v>2081101</v>
      </c>
      <c r="H230" s="296" t="s">
        <v>91</v>
      </c>
      <c r="I230" s="354">
        <v>266.71</v>
      </c>
      <c r="J230" s="296">
        <f t="shared" ref="J230:J235" si="23">ROUND(I230,0)</f>
        <v>267</v>
      </c>
      <c r="K230" s="296">
        <f>VLOOKUP(G230,'[2]Sheet1 (2)'!$H:$I,2,0)</f>
        <v>150.71</v>
      </c>
      <c r="L230" s="354">
        <f t="shared" si="18"/>
        <v>0.289999999999992</v>
      </c>
      <c r="M230" s="296">
        <v>2082001</v>
      </c>
      <c r="N230" s="296">
        <v>533.44</v>
      </c>
      <c r="O230" s="296">
        <v>2082001</v>
      </c>
      <c r="P230" s="296">
        <v>800.16</v>
      </c>
    </row>
    <row r="231" ht="20.1" customHeight="1" spans="1:16">
      <c r="A231" s="531" t="s">
        <v>93</v>
      </c>
      <c r="B231" s="532">
        <v>23</v>
      </c>
      <c r="C231" s="533">
        <v>112</v>
      </c>
      <c r="D231" s="528"/>
      <c r="E231" s="534"/>
      <c r="F231" s="530"/>
      <c r="G231" s="296">
        <v>2081102</v>
      </c>
      <c r="H231" s="296" t="s">
        <v>93</v>
      </c>
      <c r="I231" s="354">
        <v>112</v>
      </c>
      <c r="J231" s="296">
        <f t="shared" si="23"/>
        <v>112</v>
      </c>
      <c r="K231" s="296">
        <f>VLOOKUP(G231,'[2]Sheet1 (2)'!$H:$I,2,0)</f>
        <v>112</v>
      </c>
      <c r="L231" s="354">
        <f t="shared" si="18"/>
        <v>0</v>
      </c>
      <c r="M231" s="296">
        <v>2082002</v>
      </c>
      <c r="N231" s="296">
        <v>20</v>
      </c>
      <c r="O231" s="296">
        <v>2082002</v>
      </c>
      <c r="P231" s="296">
        <v>49.84</v>
      </c>
    </row>
    <row r="232" ht="20.1" customHeight="1" spans="1:16">
      <c r="A232" s="531" t="s">
        <v>487</v>
      </c>
      <c r="B232" s="532">
        <v>365</v>
      </c>
      <c r="C232" s="533">
        <v>390</v>
      </c>
      <c r="D232" s="528"/>
      <c r="E232" s="534"/>
      <c r="F232" s="530"/>
      <c r="G232" s="296">
        <v>2081104</v>
      </c>
      <c r="H232" s="296" t="s">
        <v>487</v>
      </c>
      <c r="I232" s="354">
        <v>390</v>
      </c>
      <c r="J232" s="296">
        <f t="shared" si="23"/>
        <v>390</v>
      </c>
      <c r="K232" s="296">
        <f>VLOOKUP(G232,'[2]Sheet1 (2)'!$H:$I,2,0)</f>
        <v>390</v>
      </c>
      <c r="L232" s="354">
        <f t="shared" si="18"/>
        <v>0</v>
      </c>
      <c r="M232" s="296">
        <v>2082101</v>
      </c>
      <c r="N232" s="296">
        <v>56</v>
      </c>
      <c r="O232" s="296">
        <v>2082101</v>
      </c>
      <c r="P232" s="296">
        <v>80</v>
      </c>
    </row>
    <row r="233" ht="20.1" customHeight="1" spans="1:16">
      <c r="A233" s="531" t="s">
        <v>489</v>
      </c>
      <c r="B233" s="532">
        <v>91</v>
      </c>
      <c r="C233" s="533">
        <v>30</v>
      </c>
      <c r="D233" s="528"/>
      <c r="E233" s="535"/>
      <c r="F233" s="530"/>
      <c r="G233" s="296">
        <v>2081105</v>
      </c>
      <c r="H233" s="296" t="s">
        <v>489</v>
      </c>
      <c r="I233" s="354">
        <v>30</v>
      </c>
      <c r="J233" s="296">
        <f t="shared" si="23"/>
        <v>30</v>
      </c>
      <c r="K233" s="296">
        <f>VLOOKUP(G233,'[2]Sheet1 (2)'!$H:$I,2,0)</f>
        <v>30</v>
      </c>
      <c r="L233" s="354">
        <f t="shared" si="18"/>
        <v>0</v>
      </c>
      <c r="M233" s="296">
        <v>2082102</v>
      </c>
      <c r="N233" s="296">
        <v>1141</v>
      </c>
      <c r="O233" s="296">
        <v>2082102</v>
      </c>
      <c r="P233" s="296">
        <v>1700</v>
      </c>
    </row>
    <row r="234" ht="20.1" customHeight="1" spans="1:16">
      <c r="A234" s="531" t="s">
        <v>493</v>
      </c>
      <c r="B234" s="532">
        <v>80</v>
      </c>
      <c r="C234" s="533">
        <v>1190</v>
      </c>
      <c r="D234" s="528"/>
      <c r="E234" s="535">
        <v>1533</v>
      </c>
      <c r="F234" s="530"/>
      <c r="G234" s="296">
        <v>2081107</v>
      </c>
      <c r="H234" s="296" t="s">
        <v>493</v>
      </c>
      <c r="I234" s="354">
        <v>1190</v>
      </c>
      <c r="J234" s="296">
        <f t="shared" si="23"/>
        <v>1190</v>
      </c>
      <c r="K234" s="296">
        <f>VLOOKUP(G234,'[2]Sheet1 (2)'!$H:$I,2,0)</f>
        <v>1190</v>
      </c>
      <c r="L234" s="354">
        <f t="shared" si="18"/>
        <v>0</v>
      </c>
      <c r="M234" s="296">
        <v>2082502</v>
      </c>
      <c r="N234" s="296">
        <v>173.4</v>
      </c>
      <c r="O234" s="296">
        <v>2082502</v>
      </c>
      <c r="P234" s="296">
        <v>0</v>
      </c>
    </row>
    <row r="235" ht="20.1" customHeight="1" spans="1:16">
      <c r="A235" s="531" t="s">
        <v>495</v>
      </c>
      <c r="B235" s="532">
        <v>433</v>
      </c>
      <c r="C235" s="533">
        <v>681</v>
      </c>
      <c r="D235" s="528"/>
      <c r="E235" s="533">
        <v>125</v>
      </c>
      <c r="F235" s="530"/>
      <c r="G235" s="296">
        <v>2081199</v>
      </c>
      <c r="H235" s="296" t="s">
        <v>495</v>
      </c>
      <c r="I235" s="354">
        <v>594.83</v>
      </c>
      <c r="J235" s="296">
        <f t="shared" si="23"/>
        <v>595</v>
      </c>
      <c r="K235" s="296">
        <f>VLOOKUP(G235,'[2]Sheet1 (2)'!$H:$I,2,0)</f>
        <v>680.83</v>
      </c>
      <c r="L235" s="354">
        <f t="shared" si="18"/>
        <v>0.169999999999959</v>
      </c>
      <c r="M235" s="554">
        <v>2082601</v>
      </c>
      <c r="N235" s="554">
        <v>203.2</v>
      </c>
      <c r="O235" s="296">
        <v>2082601</v>
      </c>
      <c r="P235" s="296">
        <v>0</v>
      </c>
    </row>
    <row r="236" ht="20.1" customHeight="1" spans="1:16">
      <c r="A236" s="525" t="s">
        <v>497</v>
      </c>
      <c r="B236" s="526">
        <f>SUM(B237:B238)</f>
        <v>131</v>
      </c>
      <c r="C236" s="527">
        <f>SUM(C237:C238)</f>
        <v>121</v>
      </c>
      <c r="D236" s="528"/>
      <c r="E236" s="529"/>
      <c r="F236" s="530"/>
      <c r="K236" s="296" t="e">
        <f>VLOOKUP(G236,'[2]Sheet1 (2)'!$H:$I,2,0)</f>
        <v>#N/A</v>
      </c>
      <c r="L236" s="354" t="e">
        <f t="shared" si="18"/>
        <v>#N/A</v>
      </c>
      <c r="M236" s="554">
        <v>2082602</v>
      </c>
      <c r="N236" s="554">
        <v>22000</v>
      </c>
      <c r="O236" s="296">
        <v>2082602</v>
      </c>
      <c r="P236" s="296">
        <v>29832</v>
      </c>
    </row>
    <row r="237" ht="20.1" customHeight="1" spans="1:16">
      <c r="A237" s="531" t="s">
        <v>91</v>
      </c>
      <c r="B237" s="532">
        <v>86</v>
      </c>
      <c r="C237" s="533">
        <v>86</v>
      </c>
      <c r="D237" s="528"/>
      <c r="E237" s="534"/>
      <c r="F237" s="530"/>
      <c r="G237" s="296">
        <v>2081601</v>
      </c>
      <c r="H237" s="296" t="s">
        <v>91</v>
      </c>
      <c r="I237" s="354">
        <v>86.32</v>
      </c>
      <c r="J237" s="296">
        <f>ROUND(I237,0)</f>
        <v>86</v>
      </c>
      <c r="K237" s="296">
        <f>VLOOKUP(G237,'[2]Sheet1 (2)'!$H:$I,2,0)</f>
        <v>86.32</v>
      </c>
      <c r="L237" s="354">
        <f t="shared" si="18"/>
        <v>-0.319999999999993</v>
      </c>
      <c r="M237" s="296">
        <v>2082801</v>
      </c>
      <c r="N237" s="296">
        <v>228.61</v>
      </c>
      <c r="O237" s="296">
        <v>2082801</v>
      </c>
      <c r="P237" s="296">
        <v>0</v>
      </c>
    </row>
    <row r="238" ht="20.1" customHeight="1" spans="1:16">
      <c r="A238" s="531" t="s">
        <v>93</v>
      </c>
      <c r="B238" s="532">
        <v>45</v>
      </c>
      <c r="C238" s="533">
        <v>35</v>
      </c>
      <c r="D238" s="528"/>
      <c r="E238" s="534"/>
      <c r="F238" s="530"/>
      <c r="G238" s="296">
        <v>2081602</v>
      </c>
      <c r="H238" s="296" t="s">
        <v>93</v>
      </c>
      <c r="I238" s="354">
        <v>35</v>
      </c>
      <c r="J238" s="296">
        <f>ROUND(I238,0)</f>
        <v>35</v>
      </c>
      <c r="K238" s="296">
        <f>VLOOKUP(G238,'[2]Sheet1 (2)'!$H:$I,2,0)</f>
        <v>35</v>
      </c>
      <c r="L238" s="354">
        <f t="shared" si="18"/>
        <v>0</v>
      </c>
      <c r="M238" s="296">
        <v>2082802</v>
      </c>
      <c r="N238" s="296">
        <v>57</v>
      </c>
      <c r="O238" s="296">
        <v>2082802</v>
      </c>
      <c r="P238" s="296">
        <v>0</v>
      </c>
    </row>
    <row r="239" ht="20.1" customHeight="1" spans="1:16">
      <c r="A239" s="525" t="s">
        <v>502</v>
      </c>
      <c r="B239" s="526">
        <f>SUM(B240:B241)</f>
        <v>5589</v>
      </c>
      <c r="C239" s="527">
        <f>SUM(C240:C241)</f>
        <v>5721</v>
      </c>
      <c r="D239" s="526">
        <f t="shared" ref="D239:E239" si="24">SUM(D240:D241)</f>
        <v>0</v>
      </c>
      <c r="E239" s="527">
        <f t="shared" si="24"/>
        <v>4242</v>
      </c>
      <c r="F239" s="530"/>
      <c r="K239" s="296" t="e">
        <f>VLOOKUP(G239,'[2]Sheet1 (2)'!$H:$I,2,0)</f>
        <v>#N/A</v>
      </c>
      <c r="L239" s="354" t="e">
        <f t="shared" si="18"/>
        <v>#N/A</v>
      </c>
      <c r="M239" s="296">
        <v>2082804</v>
      </c>
      <c r="N239" s="296">
        <v>100</v>
      </c>
      <c r="O239" s="296">
        <v>2082804</v>
      </c>
      <c r="P239" s="296">
        <v>0</v>
      </c>
    </row>
    <row r="240" ht="20.1" customHeight="1" spans="1:16">
      <c r="A240" s="531" t="s">
        <v>503</v>
      </c>
      <c r="B240" s="532">
        <v>88</v>
      </c>
      <c r="C240" s="533">
        <v>90</v>
      </c>
      <c r="D240" s="528"/>
      <c r="E240" s="533">
        <v>180</v>
      </c>
      <c r="F240" s="530"/>
      <c r="G240" s="296">
        <v>2081901</v>
      </c>
      <c r="H240" s="296" t="s">
        <v>503</v>
      </c>
      <c r="I240" s="354">
        <v>90</v>
      </c>
      <c r="J240" s="296">
        <f>ROUND(I240,0)</f>
        <v>90</v>
      </c>
      <c r="K240" s="296">
        <f>VLOOKUP(G240,'[2]Sheet1 (2)'!$H:$I,2,0)</f>
        <v>90</v>
      </c>
      <c r="L240" s="354">
        <f t="shared" si="18"/>
        <v>0</v>
      </c>
      <c r="M240" s="296">
        <v>2082850</v>
      </c>
      <c r="N240" s="296">
        <v>197.7</v>
      </c>
      <c r="O240" s="296">
        <v>2082850</v>
      </c>
      <c r="P240" s="296">
        <v>0</v>
      </c>
    </row>
    <row r="241" ht="20.1" customHeight="1" spans="1:16">
      <c r="A241" s="531" t="s">
        <v>505</v>
      </c>
      <c r="B241" s="532">
        <v>5501</v>
      </c>
      <c r="C241" s="533">
        <v>5631</v>
      </c>
      <c r="D241" s="528"/>
      <c r="E241" s="533">
        <v>4062</v>
      </c>
      <c r="F241" s="530"/>
      <c r="G241" s="296">
        <v>2081902</v>
      </c>
      <c r="H241" s="296" t="s">
        <v>505</v>
      </c>
      <c r="I241" s="354">
        <v>5631</v>
      </c>
      <c r="J241" s="296">
        <f>ROUND(I241,0)</f>
        <v>5631</v>
      </c>
      <c r="K241" s="296">
        <f>VLOOKUP(G241,'[2]Sheet1 (2)'!$H:$I,2,0)</f>
        <v>5631</v>
      </c>
      <c r="L241" s="354">
        <f t="shared" si="18"/>
        <v>0</v>
      </c>
      <c r="M241" s="296">
        <v>2082899</v>
      </c>
      <c r="N241" s="296">
        <v>14.5</v>
      </c>
      <c r="O241" s="296">
        <v>2082899</v>
      </c>
      <c r="P241" s="296">
        <v>0</v>
      </c>
    </row>
    <row r="242" ht="20.1" customHeight="1" spans="1:16">
      <c r="A242" s="525" t="s">
        <v>507</v>
      </c>
      <c r="B242" s="526">
        <f>B243</f>
        <v>553</v>
      </c>
      <c r="C242" s="527">
        <f>C243+C244</f>
        <v>553</v>
      </c>
      <c r="D242" s="528"/>
      <c r="E242" s="527">
        <f>E243+E244</f>
        <v>850</v>
      </c>
      <c r="F242" s="530"/>
      <c r="K242" s="296" t="e">
        <f>VLOOKUP(G242,'[2]Sheet1 (2)'!$H:$I,2,0)</f>
        <v>#N/A</v>
      </c>
      <c r="L242" s="354" t="e">
        <f t="shared" si="18"/>
        <v>#N/A</v>
      </c>
      <c r="M242" s="296">
        <v>2089999</v>
      </c>
      <c r="N242" s="296">
        <v>1418</v>
      </c>
      <c r="O242" s="296">
        <v>2089999</v>
      </c>
      <c r="P242" s="296">
        <v>0</v>
      </c>
    </row>
    <row r="243" ht="20.1" customHeight="1" spans="1:12">
      <c r="A243" s="531" t="s">
        <v>508</v>
      </c>
      <c r="B243" s="532">
        <v>553</v>
      </c>
      <c r="C243" s="533">
        <v>533</v>
      </c>
      <c r="D243" s="528"/>
      <c r="E243" s="533">
        <v>800</v>
      </c>
      <c r="F243" s="530"/>
      <c r="G243" s="296">
        <v>2082001</v>
      </c>
      <c r="H243" s="296" t="s">
        <v>508</v>
      </c>
      <c r="I243" s="354">
        <v>533.44</v>
      </c>
      <c r="J243" s="296">
        <f>ROUND(I243,0)</f>
        <v>533</v>
      </c>
      <c r="K243" s="296">
        <f>VLOOKUP(G243,'[2]Sheet1 (2)'!$H:$I,2,0)</f>
        <v>533.44</v>
      </c>
      <c r="L243" s="354">
        <f t="shared" si="18"/>
        <v>-0.440000000000055</v>
      </c>
    </row>
    <row r="244" ht="20.1" customHeight="1" spans="1:12">
      <c r="A244" s="531" t="s">
        <v>510</v>
      </c>
      <c r="B244" s="532"/>
      <c r="C244" s="533">
        <v>20</v>
      </c>
      <c r="D244" s="528"/>
      <c r="E244" s="533">
        <v>50</v>
      </c>
      <c r="F244" s="530"/>
      <c r="G244" s="296">
        <v>2082002</v>
      </c>
      <c r="H244" s="296" t="s">
        <v>510</v>
      </c>
      <c r="I244" s="354">
        <v>20</v>
      </c>
      <c r="J244" s="296">
        <f>ROUND(I244,0)</f>
        <v>20</v>
      </c>
      <c r="K244" s="296">
        <f>VLOOKUP(G244,'[2]Sheet1 (2)'!$H:$I,2,0)</f>
        <v>20</v>
      </c>
      <c r="L244" s="354">
        <f t="shared" si="18"/>
        <v>0</v>
      </c>
    </row>
    <row r="245" ht="30.75" customHeight="1" spans="1:12">
      <c r="A245" s="525" t="s">
        <v>512</v>
      </c>
      <c r="B245" s="526">
        <f>SUM(B246:B247)</f>
        <v>1169</v>
      </c>
      <c r="C245" s="527">
        <f>SUM(C246:C247)</f>
        <v>1197</v>
      </c>
      <c r="D245" s="528"/>
      <c r="E245" s="527">
        <f>SUM(E246:E247)</f>
        <v>1780</v>
      </c>
      <c r="F245" s="530"/>
      <c r="K245" s="296" t="e">
        <f>VLOOKUP(G245,'[2]Sheet1 (2)'!$H:$I,2,0)</f>
        <v>#N/A</v>
      </c>
      <c r="L245" s="354" t="e">
        <f t="shared" si="18"/>
        <v>#N/A</v>
      </c>
    </row>
    <row r="246" ht="20.1" customHeight="1" spans="1:12">
      <c r="A246" s="531" t="s">
        <v>513</v>
      </c>
      <c r="B246" s="532">
        <v>55</v>
      </c>
      <c r="C246" s="533">
        <v>56</v>
      </c>
      <c r="D246" s="528"/>
      <c r="E246" s="535">
        <v>80</v>
      </c>
      <c r="F246" s="530"/>
      <c r="G246" s="296">
        <v>2082101</v>
      </c>
      <c r="H246" s="296" t="s">
        <v>513</v>
      </c>
      <c r="I246" s="354">
        <v>56</v>
      </c>
      <c r="J246" s="296">
        <f>ROUND(I246,0)</f>
        <v>56</v>
      </c>
      <c r="K246" s="296">
        <f>VLOOKUP(G246,'[2]Sheet1 (2)'!$H:$I,2,0)</f>
        <v>56</v>
      </c>
      <c r="L246" s="354">
        <f t="shared" si="18"/>
        <v>0</v>
      </c>
    </row>
    <row r="247" ht="20.1" customHeight="1" spans="1:12">
      <c r="A247" s="531" t="s">
        <v>515</v>
      </c>
      <c r="B247" s="532">
        <v>1114</v>
      </c>
      <c r="C247" s="533">
        <v>1141</v>
      </c>
      <c r="D247" s="528"/>
      <c r="E247" s="535">
        <v>1700</v>
      </c>
      <c r="F247" s="530"/>
      <c r="G247" s="296">
        <v>2082102</v>
      </c>
      <c r="H247" s="296" t="s">
        <v>515</v>
      </c>
      <c r="I247" s="354">
        <v>1141</v>
      </c>
      <c r="J247" s="296">
        <f>ROUND(I247,0)</f>
        <v>1141</v>
      </c>
      <c r="K247" s="296">
        <f>VLOOKUP(G247,'[2]Sheet1 (2)'!$H:$I,2,0)</f>
        <v>1141</v>
      </c>
      <c r="L247" s="354">
        <f t="shared" si="18"/>
        <v>0</v>
      </c>
    </row>
    <row r="248" ht="20.1" customHeight="1" spans="1:12">
      <c r="A248" s="525" t="s">
        <v>970</v>
      </c>
      <c r="B248" s="525"/>
      <c r="C248" s="553">
        <f>C249</f>
        <v>173</v>
      </c>
      <c r="D248" s="525"/>
      <c r="E248" s="526"/>
      <c r="F248" s="530"/>
      <c r="K248" s="296" t="e">
        <f>VLOOKUP(G248,'[2]Sheet1 (2)'!$H:$I,2,0)</f>
        <v>#N/A</v>
      </c>
      <c r="L248" s="354" t="e">
        <f t="shared" si="18"/>
        <v>#N/A</v>
      </c>
    </row>
    <row r="249" ht="20.1" customHeight="1" spans="1:12">
      <c r="A249" s="531" t="s">
        <v>518</v>
      </c>
      <c r="B249" s="532"/>
      <c r="C249" s="533">
        <v>173</v>
      </c>
      <c r="D249" s="528"/>
      <c r="E249" s="535"/>
      <c r="F249" s="530"/>
      <c r="G249" s="296">
        <v>2082502</v>
      </c>
      <c r="H249" s="296" t="s">
        <v>518</v>
      </c>
      <c r="I249" s="354">
        <v>173.4</v>
      </c>
      <c r="J249" s="296">
        <f>ROUND(I249,0)</f>
        <v>173</v>
      </c>
      <c r="K249" s="296">
        <f>VLOOKUP(G249,'[2]Sheet1 (2)'!$H:$I,2,0)</f>
        <v>173.4</v>
      </c>
      <c r="L249" s="354">
        <f t="shared" si="18"/>
        <v>-0.400000000000006</v>
      </c>
    </row>
    <row r="250" ht="20.1" customHeight="1" spans="1:12">
      <c r="A250" s="525" t="s">
        <v>520</v>
      </c>
      <c r="B250" s="526">
        <f>SUM(B252)</f>
        <v>21612</v>
      </c>
      <c r="C250" s="527">
        <f>SUM(C251:C252)</f>
        <v>22203</v>
      </c>
      <c r="D250" s="526">
        <f t="shared" ref="D250:E250" si="25">SUM(D252)</f>
        <v>0</v>
      </c>
      <c r="E250" s="526">
        <f t="shared" si="25"/>
        <v>29832</v>
      </c>
      <c r="F250" s="530"/>
      <c r="K250" s="296" t="e">
        <f>VLOOKUP(G250,'[2]Sheet1 (2)'!$H:$I,2,0)</f>
        <v>#N/A</v>
      </c>
      <c r="L250" s="354" t="e">
        <f t="shared" si="18"/>
        <v>#N/A</v>
      </c>
    </row>
    <row r="251" ht="20.1" customHeight="1" spans="1:12">
      <c r="A251" s="531" t="s">
        <v>521</v>
      </c>
      <c r="B251" s="526"/>
      <c r="C251" s="533">
        <v>203</v>
      </c>
      <c r="D251" s="526"/>
      <c r="E251" s="526"/>
      <c r="F251" s="530"/>
      <c r="L251" s="354"/>
    </row>
    <row r="252" ht="20.1" customHeight="1" spans="1:12">
      <c r="A252" s="531" t="s">
        <v>523</v>
      </c>
      <c r="B252" s="532">
        <v>21612</v>
      </c>
      <c r="C252" s="533">
        <v>22000</v>
      </c>
      <c r="D252" s="528"/>
      <c r="E252" s="532">
        <v>29832</v>
      </c>
      <c r="F252" s="530"/>
      <c r="G252" s="296">
        <v>2082602</v>
      </c>
      <c r="H252" s="296" t="s">
        <v>523</v>
      </c>
      <c r="I252" s="354">
        <v>22000</v>
      </c>
      <c r="J252" s="296">
        <f>ROUND(I252,0)</f>
        <v>22000</v>
      </c>
      <c r="K252" s="296">
        <f>VLOOKUP(G252,'[2]Sheet1 (2)'!$H:$I,2,0)</f>
        <v>22000</v>
      </c>
      <c r="L252" s="354">
        <f t="shared" si="18"/>
        <v>0</v>
      </c>
    </row>
    <row r="253" ht="20.1" customHeight="1" spans="1:12">
      <c r="A253" s="525" t="s">
        <v>525</v>
      </c>
      <c r="B253" s="526">
        <f>SUM(B254:B257)</f>
        <v>650</v>
      </c>
      <c r="C253" s="527">
        <f>SUM(C254:C258)</f>
        <v>599</v>
      </c>
      <c r="D253" s="528"/>
      <c r="E253" s="529"/>
      <c r="F253" s="530"/>
      <c r="K253" s="296" t="e">
        <f>VLOOKUP(G253,'[2]Sheet1 (2)'!$H:$I,2,0)</f>
        <v>#N/A</v>
      </c>
      <c r="L253" s="354" t="e">
        <f t="shared" si="18"/>
        <v>#N/A</v>
      </c>
    </row>
    <row r="254" ht="20.1" customHeight="1" spans="1:12">
      <c r="A254" s="531" t="s">
        <v>91</v>
      </c>
      <c r="B254" s="532">
        <v>227</v>
      </c>
      <c r="C254" s="533">
        <v>229</v>
      </c>
      <c r="D254" s="528"/>
      <c r="E254" s="534"/>
      <c r="F254" s="530"/>
      <c r="G254" s="296">
        <v>2082801</v>
      </c>
      <c r="H254" s="296" t="s">
        <v>91</v>
      </c>
      <c r="I254" s="354">
        <v>228.61</v>
      </c>
      <c r="J254" s="296">
        <f>ROUND(I254,0)</f>
        <v>229</v>
      </c>
      <c r="K254" s="296">
        <f>VLOOKUP(G254,'[2]Sheet1 (2)'!$H:$I,2,0)</f>
        <v>228.61</v>
      </c>
      <c r="L254" s="354">
        <f t="shared" si="18"/>
        <v>0.389999999999986</v>
      </c>
    </row>
    <row r="255" ht="20.1" customHeight="1" spans="1:12">
      <c r="A255" s="531" t="s">
        <v>93</v>
      </c>
      <c r="B255" s="532">
        <v>65</v>
      </c>
      <c r="C255" s="533">
        <v>57</v>
      </c>
      <c r="D255" s="528"/>
      <c r="E255" s="534"/>
      <c r="F255" s="530"/>
      <c r="G255" s="296">
        <v>2082802</v>
      </c>
      <c r="H255" s="296" t="s">
        <v>93</v>
      </c>
      <c r="I255" s="354">
        <v>57</v>
      </c>
      <c r="J255" s="296">
        <f>ROUND(I255,0)</f>
        <v>57</v>
      </c>
      <c r="K255" s="296">
        <f>VLOOKUP(G255,'[2]Sheet1 (2)'!$H:$I,2,0)</f>
        <v>57</v>
      </c>
      <c r="L255" s="354">
        <f t="shared" si="18"/>
        <v>0</v>
      </c>
    </row>
    <row r="256" ht="20.1" customHeight="1" spans="1:12">
      <c r="A256" s="531" t="s">
        <v>528</v>
      </c>
      <c r="B256" s="532">
        <v>150</v>
      </c>
      <c r="C256" s="533">
        <v>100</v>
      </c>
      <c r="D256" s="528"/>
      <c r="E256" s="534"/>
      <c r="F256" s="530"/>
      <c r="G256" s="296">
        <v>2082804</v>
      </c>
      <c r="H256" s="296" t="s">
        <v>528</v>
      </c>
      <c r="I256" s="354">
        <v>100</v>
      </c>
      <c r="J256" s="296">
        <f>ROUND(I256,0)</f>
        <v>100</v>
      </c>
      <c r="K256" s="296">
        <f>VLOOKUP(G256,'[2]Sheet1 (2)'!$H:$I,2,0)</f>
        <v>100</v>
      </c>
      <c r="L256" s="354">
        <f t="shared" si="18"/>
        <v>0</v>
      </c>
    </row>
    <row r="257" ht="20.1" customHeight="1" spans="1:12">
      <c r="A257" s="531" t="s">
        <v>101</v>
      </c>
      <c r="B257" s="532">
        <v>208</v>
      </c>
      <c r="C257" s="533">
        <v>198</v>
      </c>
      <c r="D257" s="528"/>
      <c r="E257" s="534"/>
      <c r="F257" s="530"/>
      <c r="G257" s="296">
        <v>2082850</v>
      </c>
      <c r="H257" s="296" t="s">
        <v>101</v>
      </c>
      <c r="I257" s="354">
        <v>197.7</v>
      </c>
      <c r="J257" s="296">
        <f>ROUND(I257,0)</f>
        <v>198</v>
      </c>
      <c r="K257" s="296">
        <f>VLOOKUP(G257,'[2]Sheet1 (2)'!$H:$I,2,0)</f>
        <v>197.7</v>
      </c>
      <c r="L257" s="354">
        <f t="shared" si="18"/>
        <v>0.300000000000011</v>
      </c>
    </row>
    <row r="258" ht="20.1" customHeight="1" spans="1:12">
      <c r="A258" s="531" t="s">
        <v>971</v>
      </c>
      <c r="B258" s="532"/>
      <c r="C258" s="533">
        <v>15</v>
      </c>
      <c r="D258" s="528"/>
      <c r="E258" s="534"/>
      <c r="F258" s="530"/>
      <c r="G258" s="296">
        <v>2082899</v>
      </c>
      <c r="H258" s="296" t="s">
        <v>971</v>
      </c>
      <c r="I258" s="354">
        <v>14.5</v>
      </c>
      <c r="J258" s="296">
        <f>ROUND(I258,0)</f>
        <v>15</v>
      </c>
      <c r="K258" s="296">
        <f>VLOOKUP(G258,'[2]Sheet1 (2)'!$H:$I,2,0)</f>
        <v>14.5</v>
      </c>
      <c r="L258" s="354">
        <f t="shared" si="18"/>
        <v>0.5</v>
      </c>
    </row>
    <row r="259" ht="20.1" customHeight="1" spans="1:12">
      <c r="A259" s="525" t="s">
        <v>531</v>
      </c>
      <c r="B259" s="526">
        <f>SUM(B260)</f>
        <v>2628</v>
      </c>
      <c r="C259" s="527">
        <f>SUM(C260)</f>
        <v>1419</v>
      </c>
      <c r="D259" s="526">
        <f t="shared" ref="D259:E259" si="26">SUM(D260)</f>
        <v>0</v>
      </c>
      <c r="E259" s="526">
        <f t="shared" si="26"/>
        <v>0</v>
      </c>
      <c r="F259" s="530"/>
      <c r="K259" s="296" t="e">
        <f>VLOOKUP(G259,'[2]Sheet1 (2)'!$H:$I,2,0)</f>
        <v>#N/A</v>
      </c>
      <c r="L259" s="354" t="e">
        <f t="shared" si="18"/>
        <v>#N/A</v>
      </c>
    </row>
    <row r="260" ht="20.1" customHeight="1" spans="1:12">
      <c r="A260" s="531" t="s">
        <v>532</v>
      </c>
      <c r="B260" s="532">
        <v>2628</v>
      </c>
      <c r="C260" s="533">
        <v>1419</v>
      </c>
      <c r="D260" s="528"/>
      <c r="E260" s="532"/>
      <c r="F260" s="530"/>
      <c r="G260" s="296">
        <v>2089999</v>
      </c>
      <c r="H260" s="296" t="s">
        <v>532</v>
      </c>
      <c r="I260" s="354">
        <v>1418</v>
      </c>
      <c r="J260" s="296">
        <f>ROUND(I260,0)</f>
        <v>1418</v>
      </c>
      <c r="K260" s="296">
        <f>VLOOKUP(G260,'[2]Sheet1 (2)'!$H:$I,2,0)</f>
        <v>1418</v>
      </c>
      <c r="L260" s="354">
        <f t="shared" si="18"/>
        <v>1</v>
      </c>
    </row>
    <row r="261" ht="26" spans="1:12">
      <c r="A261" s="521" t="s">
        <v>534</v>
      </c>
      <c r="B261" s="499">
        <f>B262+B266+B272+B276+B282+B286+B289+B298+B296+B291+B293+B302+B300</f>
        <v>116256</v>
      </c>
      <c r="C261" s="499">
        <f>C262+C266+C272+C276+C282+C286+C289+C298+C296+C291+C293+C302+C300</f>
        <v>70989</v>
      </c>
      <c r="D261" s="523">
        <f>ROUND((C261/B261-1)*100,2)</f>
        <v>-38.94</v>
      </c>
      <c r="E261" s="499">
        <f>E262+E266+E272+E276+E282+E286+E289+E298+E296+E291+E293+E302+E300</f>
        <v>14762</v>
      </c>
      <c r="F261" s="497" t="s">
        <v>972</v>
      </c>
      <c r="K261" s="296" t="e">
        <f>VLOOKUP(G261,'[2]Sheet1 (2)'!$H:$I,2,0)</f>
        <v>#N/A</v>
      </c>
      <c r="L261" s="354" t="e">
        <f t="shared" si="18"/>
        <v>#N/A</v>
      </c>
    </row>
    <row r="262" ht="20.1" customHeight="1" spans="1:12">
      <c r="A262" s="525" t="s">
        <v>536</v>
      </c>
      <c r="B262" s="526">
        <f>SUM(B263:B265)</f>
        <v>1523</v>
      </c>
      <c r="C262" s="527">
        <f>SUM(C263:C265)</f>
        <v>1267</v>
      </c>
      <c r="D262" s="528"/>
      <c r="E262" s="529"/>
      <c r="F262" s="530"/>
      <c r="K262" s="296" t="e">
        <f>VLOOKUP(G262,'[2]Sheet1 (2)'!$H:$I,2,0)</f>
        <v>#N/A</v>
      </c>
      <c r="L262" s="354" t="e">
        <f t="shared" si="18"/>
        <v>#N/A</v>
      </c>
    </row>
    <row r="263" ht="20.1" customHeight="1" spans="1:16">
      <c r="A263" s="531" t="s">
        <v>91</v>
      </c>
      <c r="B263" s="532">
        <v>1303</v>
      </c>
      <c r="C263" s="533">
        <v>686</v>
      </c>
      <c r="D263" s="528"/>
      <c r="E263" s="534"/>
      <c r="F263" s="530"/>
      <c r="G263" s="296">
        <v>2100101</v>
      </c>
      <c r="H263" s="296" t="s">
        <v>91</v>
      </c>
      <c r="I263" s="354">
        <v>1137.15</v>
      </c>
      <c r="J263" s="296">
        <f>ROUND(I263,0)</f>
        <v>1137</v>
      </c>
      <c r="K263" s="296">
        <f>VLOOKUP(G263,'[2]Sheet1 (2)'!$H:$I,2,0)</f>
        <v>686.48</v>
      </c>
      <c r="L263" s="354">
        <f t="shared" si="18"/>
        <v>-0.480000000000018</v>
      </c>
      <c r="O263" s="296">
        <v>2100101</v>
      </c>
      <c r="P263" s="296">
        <v>0</v>
      </c>
    </row>
    <row r="264" ht="20.1" customHeight="1" spans="1:16">
      <c r="A264" s="531" t="s">
        <v>93</v>
      </c>
      <c r="B264" s="532">
        <v>30</v>
      </c>
      <c r="C264" s="533">
        <v>120</v>
      </c>
      <c r="D264" s="528"/>
      <c r="E264" s="534"/>
      <c r="F264" s="530"/>
      <c r="G264" s="296">
        <v>2100102</v>
      </c>
      <c r="H264" s="296" t="s">
        <v>93</v>
      </c>
      <c r="I264" s="354">
        <v>119.5</v>
      </c>
      <c r="J264" s="296">
        <f>ROUND(I264,0)</f>
        <v>120</v>
      </c>
      <c r="K264" s="296">
        <f>VLOOKUP(G264,'[2]Sheet1 (2)'!$H:$I,2,0)</f>
        <v>119.5</v>
      </c>
      <c r="L264" s="354">
        <f t="shared" si="18"/>
        <v>0.5</v>
      </c>
      <c r="O264" s="296">
        <v>2100102</v>
      </c>
      <c r="P264" s="296">
        <v>0</v>
      </c>
    </row>
    <row r="265" ht="20.1" customHeight="1" spans="1:16">
      <c r="A265" s="531" t="s">
        <v>539</v>
      </c>
      <c r="B265" s="532">
        <v>190</v>
      </c>
      <c r="C265" s="533">
        <v>461</v>
      </c>
      <c r="D265" s="528"/>
      <c r="E265" s="534"/>
      <c r="F265" s="530"/>
      <c r="G265" s="296">
        <v>2100199</v>
      </c>
      <c r="H265" s="296" t="s">
        <v>539</v>
      </c>
      <c r="I265" s="354">
        <v>10</v>
      </c>
      <c r="J265" s="296">
        <f>ROUND(I265,0)</f>
        <v>10</v>
      </c>
      <c r="K265" s="296">
        <f>VLOOKUP(G265,'[2]Sheet1 (2)'!$H:$I,2,0)</f>
        <v>460.67</v>
      </c>
      <c r="L265" s="354">
        <f t="shared" si="18"/>
        <v>0.329999999999984</v>
      </c>
      <c r="O265" s="296">
        <v>2100199</v>
      </c>
      <c r="P265" s="296">
        <v>0</v>
      </c>
    </row>
    <row r="266" ht="20.1" customHeight="1" spans="1:16">
      <c r="A266" s="525" t="s">
        <v>541</v>
      </c>
      <c r="B266" s="526">
        <f>SUM(B267:B270)</f>
        <v>4771</v>
      </c>
      <c r="C266" s="527">
        <f>SUM(C267:C270)</f>
        <v>6020</v>
      </c>
      <c r="D266" s="526">
        <f t="shared" ref="D266" si="27">SUM(D267:D270)</f>
        <v>0</v>
      </c>
      <c r="E266" s="529">
        <f>SUM(E267:E271)</f>
        <v>208</v>
      </c>
      <c r="F266" s="530"/>
      <c r="K266" s="296" t="e">
        <f>VLOOKUP(G266,'[2]Sheet1 (2)'!$H:$I,2,0)</f>
        <v>#N/A</v>
      </c>
      <c r="L266" s="354" t="e">
        <f t="shared" ref="L266:L333" si="28">C266-K266</f>
        <v>#N/A</v>
      </c>
      <c r="O266" s="296">
        <v>2100201</v>
      </c>
      <c r="P266" s="296">
        <v>0</v>
      </c>
    </row>
    <row r="267" ht="20.1" customHeight="1" spans="1:16">
      <c r="A267" s="531" t="s">
        <v>542</v>
      </c>
      <c r="B267" s="532">
        <v>1095</v>
      </c>
      <c r="C267" s="533">
        <v>2518</v>
      </c>
      <c r="D267" s="528"/>
      <c r="E267" s="534"/>
      <c r="F267" s="530"/>
      <c r="G267" s="296">
        <v>2100201</v>
      </c>
      <c r="H267" s="296" t="s">
        <v>542</v>
      </c>
      <c r="I267" s="354">
        <v>2518.4</v>
      </c>
      <c r="J267" s="296">
        <f>ROUND(I267,0)</f>
        <v>2518</v>
      </c>
      <c r="K267" s="296">
        <f>VLOOKUP(G267,'[2]Sheet1 (2)'!$H:$I,2,0)</f>
        <v>2518.4</v>
      </c>
      <c r="L267" s="354">
        <f t="shared" si="28"/>
        <v>-0.400000000000091</v>
      </c>
      <c r="O267" s="296">
        <v>2100202</v>
      </c>
      <c r="P267" s="296">
        <v>0</v>
      </c>
    </row>
    <row r="268" ht="20.1" customHeight="1" spans="1:16">
      <c r="A268" s="531" t="s">
        <v>544</v>
      </c>
      <c r="B268" s="532">
        <v>541</v>
      </c>
      <c r="C268" s="533">
        <v>602</v>
      </c>
      <c r="D268" s="528"/>
      <c r="E268" s="534"/>
      <c r="F268" s="530"/>
      <c r="G268" s="296">
        <v>2100202</v>
      </c>
      <c r="H268" s="296" t="s">
        <v>546</v>
      </c>
      <c r="I268" s="354">
        <v>602</v>
      </c>
      <c r="J268" s="296">
        <f>ROUND(I268,0)</f>
        <v>602</v>
      </c>
      <c r="K268" s="296">
        <f>VLOOKUP(G268,'[2]Sheet1 (2)'!$H:$I,2,0)</f>
        <v>602</v>
      </c>
      <c r="L268" s="354">
        <f t="shared" si="28"/>
        <v>0</v>
      </c>
      <c r="O268" s="296">
        <v>2100205</v>
      </c>
      <c r="P268" s="296">
        <v>0</v>
      </c>
    </row>
    <row r="269" ht="20.1" customHeight="1" spans="1:16">
      <c r="A269" s="531" t="s">
        <v>547</v>
      </c>
      <c r="B269" s="532">
        <v>1777</v>
      </c>
      <c r="C269" s="533">
        <v>1652</v>
      </c>
      <c r="D269" s="528"/>
      <c r="E269" s="534"/>
      <c r="F269" s="530"/>
      <c r="G269" s="296">
        <v>2100205</v>
      </c>
      <c r="H269" s="296" t="s">
        <v>547</v>
      </c>
      <c r="I269" s="354">
        <v>1651.58</v>
      </c>
      <c r="J269" s="296">
        <f>ROUND(I269,0)</f>
        <v>1652</v>
      </c>
      <c r="K269" s="296">
        <f>VLOOKUP(G269,'[2]Sheet1 (2)'!$H:$I,2,0)</f>
        <v>1651.58</v>
      </c>
      <c r="L269" s="354">
        <f t="shared" si="28"/>
        <v>0.420000000000073</v>
      </c>
      <c r="O269" s="296">
        <v>2100206</v>
      </c>
      <c r="P269" s="296">
        <v>0</v>
      </c>
    </row>
    <row r="270" ht="20.1" customHeight="1" spans="1:16">
      <c r="A270" s="531" t="s">
        <v>549</v>
      </c>
      <c r="B270" s="532">
        <v>1358</v>
      </c>
      <c r="C270" s="533">
        <v>1248</v>
      </c>
      <c r="D270" s="528"/>
      <c r="E270" s="534"/>
      <c r="F270" s="530"/>
      <c r="G270" s="296">
        <v>2100206</v>
      </c>
      <c r="H270" s="296" t="s">
        <v>549</v>
      </c>
      <c r="I270" s="354">
        <v>1247.91</v>
      </c>
      <c r="J270" s="296">
        <f>ROUND(I270,0)</f>
        <v>1248</v>
      </c>
      <c r="K270" s="296">
        <f>VLOOKUP(G270,'[2]Sheet1 (2)'!$H:$I,2,0)</f>
        <v>1247.91</v>
      </c>
      <c r="L270" s="354">
        <f t="shared" si="28"/>
        <v>0.0899999999999181</v>
      </c>
      <c r="O270" s="296">
        <v>2100299</v>
      </c>
      <c r="P270" s="296">
        <v>208</v>
      </c>
    </row>
    <row r="271" ht="20.1" customHeight="1" spans="1:16">
      <c r="A271" s="531" t="s">
        <v>973</v>
      </c>
      <c r="B271" s="532"/>
      <c r="C271" s="533"/>
      <c r="D271" s="528"/>
      <c r="E271" s="533">
        <v>208</v>
      </c>
      <c r="F271" s="530"/>
      <c r="K271" s="296" t="e">
        <f>VLOOKUP(G271,'[2]Sheet1 (2)'!$H:$I,2,0)</f>
        <v>#N/A</v>
      </c>
      <c r="L271" s="354" t="e">
        <f t="shared" si="28"/>
        <v>#N/A</v>
      </c>
      <c r="O271" s="296">
        <v>2100301</v>
      </c>
      <c r="P271" s="296">
        <v>0</v>
      </c>
    </row>
    <row r="272" ht="20.1" customHeight="1" spans="1:16">
      <c r="A272" s="525" t="s">
        <v>551</v>
      </c>
      <c r="B272" s="526">
        <f>SUM(B274:B275)</f>
        <v>10724</v>
      </c>
      <c r="C272" s="527">
        <f>SUM(C273:C275)</f>
        <v>10101</v>
      </c>
      <c r="D272" s="526">
        <f t="shared" ref="D272:E272" si="29">SUM(D274:D275)</f>
        <v>0</v>
      </c>
      <c r="E272" s="527">
        <f t="shared" si="29"/>
        <v>1327</v>
      </c>
      <c r="F272" s="530"/>
      <c r="K272" s="296" t="e">
        <f>VLOOKUP(G272,'[2]Sheet1 (2)'!$H:$I,2,0)</f>
        <v>#N/A</v>
      </c>
      <c r="L272" s="354" t="e">
        <f t="shared" si="28"/>
        <v>#N/A</v>
      </c>
      <c r="O272" s="296">
        <v>2100302</v>
      </c>
      <c r="P272" s="296">
        <v>991</v>
      </c>
    </row>
    <row r="273" ht="20.1" customHeight="1" spans="1:16">
      <c r="A273" s="531" t="s">
        <v>974</v>
      </c>
      <c r="B273" s="526"/>
      <c r="C273" s="533">
        <v>682</v>
      </c>
      <c r="D273" s="526"/>
      <c r="E273" s="526"/>
      <c r="F273" s="530"/>
      <c r="G273" s="296">
        <v>2100301</v>
      </c>
      <c r="H273" s="312" t="s">
        <v>974</v>
      </c>
      <c r="I273" s="354">
        <v>681.7399</v>
      </c>
      <c r="J273" s="296">
        <f>ROUND(I273,0)</f>
        <v>682</v>
      </c>
      <c r="K273" s="296">
        <f>VLOOKUP(G273,'[2]Sheet1 (2)'!$H:$I,2,0)</f>
        <v>681.7399</v>
      </c>
      <c r="L273" s="354">
        <f t="shared" si="28"/>
        <v>0.260099999999966</v>
      </c>
      <c r="O273" s="296">
        <v>2100399</v>
      </c>
      <c r="P273" s="296">
        <v>336</v>
      </c>
    </row>
    <row r="274" ht="20.1" customHeight="1" spans="1:16">
      <c r="A274" s="531" t="s">
        <v>552</v>
      </c>
      <c r="B274" s="532">
        <v>10674</v>
      </c>
      <c r="C274" s="533">
        <v>9389</v>
      </c>
      <c r="D274" s="528"/>
      <c r="E274" s="535">
        <v>991</v>
      </c>
      <c r="F274" s="530"/>
      <c r="G274" s="296">
        <v>2100302</v>
      </c>
      <c r="H274" s="296" t="s">
        <v>552</v>
      </c>
      <c r="I274" s="354">
        <v>9388.8886</v>
      </c>
      <c r="J274" s="296">
        <f>ROUND(I274,0)</f>
        <v>9389</v>
      </c>
      <c r="K274" s="296">
        <f>VLOOKUP(G274,'[2]Sheet1 (2)'!$H:$I,2,0)</f>
        <v>9388.8886</v>
      </c>
      <c r="L274" s="354">
        <f t="shared" si="28"/>
        <v>0.111399999999776</v>
      </c>
      <c r="O274" s="296">
        <v>2100401</v>
      </c>
      <c r="P274" s="296">
        <v>0</v>
      </c>
    </row>
    <row r="275" ht="20.1" customHeight="1" spans="1:16">
      <c r="A275" s="531" t="s">
        <v>554</v>
      </c>
      <c r="B275" s="532">
        <v>50</v>
      </c>
      <c r="C275" s="533">
        <v>30</v>
      </c>
      <c r="D275" s="528"/>
      <c r="E275" s="533">
        <v>336</v>
      </c>
      <c r="F275" s="530"/>
      <c r="G275" s="296">
        <v>2100399</v>
      </c>
      <c r="H275" s="296" t="s">
        <v>554</v>
      </c>
      <c r="I275" s="354">
        <v>30</v>
      </c>
      <c r="J275" s="296">
        <f>ROUND(I275,0)</f>
        <v>30</v>
      </c>
      <c r="K275" s="296">
        <f>VLOOKUP(G275,'[2]Sheet1 (2)'!$H:$I,2,0)</f>
        <v>30</v>
      </c>
      <c r="L275" s="354">
        <f t="shared" si="28"/>
        <v>0</v>
      </c>
      <c r="O275" s="296">
        <v>2100402</v>
      </c>
      <c r="P275" s="296">
        <v>0</v>
      </c>
    </row>
    <row r="276" ht="20.1" customHeight="1" spans="1:16">
      <c r="A276" s="525" t="s">
        <v>556</v>
      </c>
      <c r="B276" s="526">
        <f>SUM(B277:B281)</f>
        <v>43539</v>
      </c>
      <c r="C276" s="527">
        <f>SUM(C277:C281)</f>
        <v>7735</v>
      </c>
      <c r="D276" s="526">
        <f>SUM(D277:D281)</f>
        <v>0</v>
      </c>
      <c r="E276" s="527">
        <f>SUM(E277:E281)</f>
        <v>1967</v>
      </c>
      <c r="F276" s="530"/>
      <c r="K276" s="296" t="e">
        <f>VLOOKUP(G276,'[2]Sheet1 (2)'!$H:$I,2,0)</f>
        <v>#N/A</v>
      </c>
      <c r="L276" s="354" t="e">
        <f t="shared" si="28"/>
        <v>#N/A</v>
      </c>
      <c r="O276" s="296">
        <v>2100408</v>
      </c>
      <c r="P276" s="296">
        <v>1901.1</v>
      </c>
    </row>
    <row r="277" ht="20.1" customHeight="1" spans="1:16">
      <c r="A277" s="531" t="s">
        <v>557</v>
      </c>
      <c r="B277" s="532">
        <v>1960</v>
      </c>
      <c r="C277" s="533">
        <v>2008</v>
      </c>
      <c r="D277" s="528"/>
      <c r="E277" s="533"/>
      <c r="F277" s="530"/>
      <c r="G277" s="296">
        <v>2100401</v>
      </c>
      <c r="H277" s="296" t="s">
        <v>557</v>
      </c>
      <c r="I277" s="354">
        <v>2007.7</v>
      </c>
      <c r="J277" s="296">
        <f>ROUND(I277,0)</f>
        <v>2008</v>
      </c>
      <c r="K277" s="296">
        <f>VLOOKUP(G277,'[2]Sheet1 (2)'!$H:$I,2,0)</f>
        <v>2007.7</v>
      </c>
      <c r="L277" s="354">
        <f t="shared" si="28"/>
        <v>0.299999999999955</v>
      </c>
      <c r="O277" s="296">
        <v>2100410</v>
      </c>
      <c r="P277" s="296">
        <v>0</v>
      </c>
    </row>
    <row r="278" s="502" customFormat="1" ht="20.1" customHeight="1" spans="1:17">
      <c r="A278" s="531" t="s">
        <v>559</v>
      </c>
      <c r="B278" s="532">
        <v>378</v>
      </c>
      <c r="C278" s="533">
        <v>403</v>
      </c>
      <c r="D278" s="528"/>
      <c r="E278" s="533"/>
      <c r="F278" s="530"/>
      <c r="G278" s="296">
        <v>2100402</v>
      </c>
      <c r="H278" s="296" t="s">
        <v>559</v>
      </c>
      <c r="I278" s="354">
        <v>403.24</v>
      </c>
      <c r="J278" s="296">
        <f>ROUND(I278,0)</f>
        <v>403</v>
      </c>
      <c r="K278" s="296">
        <f>VLOOKUP(G278,'[2]Sheet1 (2)'!$H:$I,2,0)</f>
        <v>403.24</v>
      </c>
      <c r="L278" s="354">
        <f t="shared" si="28"/>
        <v>-0.240000000000009</v>
      </c>
      <c r="M278" s="296"/>
      <c r="N278" s="296"/>
      <c r="O278" s="296">
        <v>2100499</v>
      </c>
      <c r="P278" s="296">
        <v>66</v>
      </c>
      <c r="Q278" s="296"/>
    </row>
    <row r="279" ht="20.1" customHeight="1" spans="1:16">
      <c r="A279" s="531" t="s">
        <v>563</v>
      </c>
      <c r="B279" s="532">
        <v>4581</v>
      </c>
      <c r="C279" s="533">
        <v>4752</v>
      </c>
      <c r="D279" s="528"/>
      <c r="E279" s="533">
        <v>1901</v>
      </c>
      <c r="F279" s="530"/>
      <c r="G279" s="296">
        <v>2100408</v>
      </c>
      <c r="H279" s="296" t="s">
        <v>563</v>
      </c>
      <c r="I279" s="354">
        <v>4752.3</v>
      </c>
      <c r="J279" s="296">
        <f>ROUND(I279,0)</f>
        <v>4752</v>
      </c>
      <c r="K279" s="296">
        <f>VLOOKUP(G279,'[2]Sheet1 (2)'!$H:$I,2,0)</f>
        <v>4752.3</v>
      </c>
      <c r="L279" s="354">
        <f t="shared" si="28"/>
        <v>-0.300000000000182</v>
      </c>
      <c r="O279" s="296">
        <v>2100716</v>
      </c>
      <c r="P279" s="296">
        <v>0</v>
      </c>
    </row>
    <row r="280" s="502" customFormat="1" ht="20.1" customHeight="1" spans="1:17">
      <c r="A280" s="531" t="s">
        <v>565</v>
      </c>
      <c r="B280" s="532">
        <v>36500</v>
      </c>
      <c r="C280" s="533">
        <v>300</v>
      </c>
      <c r="D280" s="528"/>
      <c r="E280" s="533"/>
      <c r="F280" s="530"/>
      <c r="G280" s="296">
        <v>2100410</v>
      </c>
      <c r="H280" s="296" t="s">
        <v>975</v>
      </c>
      <c r="I280" s="354">
        <v>300</v>
      </c>
      <c r="J280" s="296">
        <f>ROUND(I280,0)</f>
        <v>300</v>
      </c>
      <c r="K280" s="296">
        <f>VLOOKUP(G280,'[2]Sheet1 (2)'!$H:$I,2,0)</f>
        <v>300</v>
      </c>
      <c r="L280" s="354">
        <f t="shared" si="28"/>
        <v>0</v>
      </c>
      <c r="M280" s="296"/>
      <c r="N280" s="296"/>
      <c r="O280" s="296">
        <v>2100717</v>
      </c>
      <c r="P280" s="296">
        <v>0</v>
      </c>
      <c r="Q280" s="296"/>
    </row>
    <row r="281" ht="20.1" customHeight="1" spans="1:16">
      <c r="A281" s="531" t="s">
        <v>567</v>
      </c>
      <c r="B281" s="532">
        <v>120</v>
      </c>
      <c r="C281" s="533">
        <v>272</v>
      </c>
      <c r="D281" s="528"/>
      <c r="E281" s="533">
        <v>66</v>
      </c>
      <c r="F281" s="530"/>
      <c r="G281" s="296">
        <v>2100499</v>
      </c>
      <c r="H281" s="296" t="s">
        <v>567</v>
      </c>
      <c r="I281" s="354">
        <v>272</v>
      </c>
      <c r="J281" s="296">
        <f>ROUND(I281,0)</f>
        <v>272</v>
      </c>
      <c r="K281" s="296">
        <f>VLOOKUP(G281,'[2]Sheet1 (2)'!$H:$I,2,0)</f>
        <v>272</v>
      </c>
      <c r="L281" s="354">
        <f t="shared" si="28"/>
        <v>0</v>
      </c>
      <c r="O281" s="296">
        <v>2100799</v>
      </c>
      <c r="P281" s="296">
        <v>653</v>
      </c>
    </row>
    <row r="282" ht="20.1" customHeight="1" spans="1:16">
      <c r="A282" s="525" t="s">
        <v>976</v>
      </c>
      <c r="B282" s="526">
        <f>SUM(B283:B285)</f>
        <v>7673</v>
      </c>
      <c r="C282" s="527">
        <f>SUM(C283:C285)</f>
        <v>7721</v>
      </c>
      <c r="D282" s="526">
        <f t="shared" ref="D282:E282" si="30">SUM(D283:D285)</f>
        <v>0</v>
      </c>
      <c r="E282" s="529">
        <f t="shared" si="30"/>
        <v>653</v>
      </c>
      <c r="F282" s="530"/>
      <c r="K282" s="296" t="e">
        <f>VLOOKUP(G282,'[2]Sheet1 (2)'!$H:$I,2,0)</f>
        <v>#N/A</v>
      </c>
      <c r="L282" s="354" t="e">
        <f t="shared" si="28"/>
        <v>#N/A</v>
      </c>
      <c r="O282" s="296">
        <v>2101101</v>
      </c>
      <c r="P282" s="296">
        <v>0</v>
      </c>
    </row>
    <row r="283" ht="20.1" customHeight="1" spans="1:16">
      <c r="A283" s="531" t="s">
        <v>573</v>
      </c>
      <c r="B283" s="532">
        <v>125</v>
      </c>
      <c r="C283" s="533">
        <v>143</v>
      </c>
      <c r="D283" s="528"/>
      <c r="E283" s="534"/>
      <c r="F283" s="530"/>
      <c r="G283" s="296">
        <v>2100716</v>
      </c>
      <c r="H283" s="296" t="s">
        <v>573</v>
      </c>
      <c r="I283" s="354">
        <v>143.14</v>
      </c>
      <c r="J283" s="296">
        <f>ROUND(I283,0)</f>
        <v>143</v>
      </c>
      <c r="K283" s="296">
        <f>VLOOKUP(G283,'[2]Sheet1 (2)'!$H:$I,2,0)</f>
        <v>143.14</v>
      </c>
      <c r="L283" s="354">
        <f t="shared" si="28"/>
        <v>-0.139999999999986</v>
      </c>
      <c r="M283" s="502"/>
      <c r="N283" s="502"/>
      <c r="O283" s="296">
        <v>2101102</v>
      </c>
      <c r="P283" s="296">
        <v>0</v>
      </c>
    </row>
    <row r="284" ht="20.1" customHeight="1" spans="1:16">
      <c r="A284" s="531" t="s">
        <v>575</v>
      </c>
      <c r="B284" s="532">
        <v>7074</v>
      </c>
      <c r="C284" s="533">
        <v>7133</v>
      </c>
      <c r="D284" s="528"/>
      <c r="E284" s="532"/>
      <c r="F284" s="530"/>
      <c r="G284" s="296">
        <v>2100717</v>
      </c>
      <c r="H284" s="296" t="s">
        <v>575</v>
      </c>
      <c r="I284" s="354">
        <v>7132.9</v>
      </c>
      <c r="J284" s="296">
        <f>ROUND(I284,0)</f>
        <v>7133</v>
      </c>
      <c r="K284" s="296">
        <f>VLOOKUP(G284,'[2]Sheet1 (2)'!$H:$I,2,0)</f>
        <v>7132.9</v>
      </c>
      <c r="L284" s="354">
        <f t="shared" si="28"/>
        <v>0.100000000000364</v>
      </c>
      <c r="O284" s="296">
        <v>2101202</v>
      </c>
      <c r="P284" s="296">
        <v>10066</v>
      </c>
    </row>
    <row r="285" ht="20.1" customHeight="1" spans="1:16">
      <c r="A285" s="531" t="s">
        <v>577</v>
      </c>
      <c r="B285" s="532">
        <v>474</v>
      </c>
      <c r="C285" s="533">
        <v>445</v>
      </c>
      <c r="D285" s="528"/>
      <c r="E285" s="535">
        <v>653</v>
      </c>
      <c r="F285" s="530"/>
      <c r="G285" s="296">
        <v>2100799</v>
      </c>
      <c r="H285" s="296" t="s">
        <v>577</v>
      </c>
      <c r="I285" s="354">
        <v>445.04</v>
      </c>
      <c r="J285" s="296">
        <f>ROUND(I285,0)</f>
        <v>445</v>
      </c>
      <c r="K285" s="296">
        <f>VLOOKUP(G285,'[2]Sheet1 (2)'!$H:$I,2,0)</f>
        <v>445.04</v>
      </c>
      <c r="L285" s="354">
        <f t="shared" si="28"/>
        <v>-0.0400000000000205</v>
      </c>
      <c r="M285" s="502"/>
      <c r="N285" s="502"/>
      <c r="O285" s="296">
        <v>2101301</v>
      </c>
      <c r="P285" s="296">
        <v>0</v>
      </c>
    </row>
    <row r="286" ht="20.1" customHeight="1" spans="1:16">
      <c r="A286" s="525" t="s">
        <v>977</v>
      </c>
      <c r="B286" s="526">
        <f>SUM(B287:B288)</f>
        <v>12374</v>
      </c>
      <c r="C286" s="527">
        <f>SUM(C287:C288)</f>
        <v>13502</v>
      </c>
      <c r="D286" s="528"/>
      <c r="E286" s="529"/>
      <c r="F286" s="530"/>
      <c r="K286" s="296" t="e">
        <f>VLOOKUP(G286,'[2]Sheet1 (2)'!$H:$I,2,0)</f>
        <v>#N/A</v>
      </c>
      <c r="L286" s="354" t="e">
        <f t="shared" si="28"/>
        <v>#N/A</v>
      </c>
      <c r="O286" s="296">
        <v>2101401</v>
      </c>
      <c r="P286" s="296">
        <v>215.21</v>
      </c>
    </row>
    <row r="287" customFormat="1" ht="20.1" customHeight="1" spans="1:17">
      <c r="A287" s="531" t="s">
        <v>580</v>
      </c>
      <c r="B287" s="532">
        <v>2115</v>
      </c>
      <c r="C287" s="533">
        <v>2227</v>
      </c>
      <c r="D287" s="528"/>
      <c r="E287" s="534"/>
      <c r="F287" s="530"/>
      <c r="G287" s="296">
        <v>2101101</v>
      </c>
      <c r="H287" s="296" t="s">
        <v>580</v>
      </c>
      <c r="I287" s="354">
        <v>2226.87</v>
      </c>
      <c r="J287" s="296">
        <f>ROUND(I287,0)</f>
        <v>2227</v>
      </c>
      <c r="K287" s="296">
        <f>VLOOKUP(G287,'[2]Sheet1 (2)'!$H:$I,2,0)</f>
        <v>2226.87</v>
      </c>
      <c r="L287" s="354">
        <f t="shared" si="28"/>
        <v>0.130000000000109</v>
      </c>
      <c r="M287" s="296"/>
      <c r="N287" s="296"/>
      <c r="O287" s="296">
        <v>2101499</v>
      </c>
      <c r="P287" s="296">
        <v>0.39</v>
      </c>
      <c r="Q287" s="296"/>
    </row>
    <row r="288" customFormat="1" ht="20.1" customHeight="1" spans="1:17">
      <c r="A288" s="531" t="s">
        <v>582</v>
      </c>
      <c r="B288" s="532">
        <v>10259</v>
      </c>
      <c r="C288" s="533">
        <v>11275</v>
      </c>
      <c r="D288" s="528"/>
      <c r="E288" s="534"/>
      <c r="F288" s="530"/>
      <c r="G288" s="296">
        <v>2101102</v>
      </c>
      <c r="H288" s="296" t="s">
        <v>582</v>
      </c>
      <c r="I288" s="354">
        <v>11275.3269</v>
      </c>
      <c r="J288" s="296">
        <f>ROUND(I288,0)</f>
        <v>11275</v>
      </c>
      <c r="K288" s="296">
        <f>VLOOKUP(G288,'[2]Sheet1 (2)'!$H:$I,2,0)</f>
        <v>11275.3269</v>
      </c>
      <c r="L288" s="354">
        <f t="shared" si="28"/>
        <v>-0.326900000000023</v>
      </c>
      <c r="M288" s="296"/>
      <c r="N288" s="296"/>
      <c r="O288" s="296">
        <v>2101601</v>
      </c>
      <c r="P288" s="296">
        <v>0</v>
      </c>
      <c r="Q288" s="502"/>
    </row>
    <row r="289" ht="30" customHeight="1" spans="1:16">
      <c r="A289" s="525" t="s">
        <v>978</v>
      </c>
      <c r="B289" s="526">
        <f t="shared" ref="B289:B293" si="31">B290</f>
        <v>34245</v>
      </c>
      <c r="C289" s="527">
        <f t="shared" ref="C289:C293" si="32">C290</f>
        <v>23249</v>
      </c>
      <c r="D289" s="526">
        <f t="shared" ref="D289:E289" si="33">D290</f>
        <v>0</v>
      </c>
      <c r="E289" s="527">
        <f t="shared" si="33"/>
        <v>10066</v>
      </c>
      <c r="F289" s="530"/>
      <c r="K289" s="296" t="e">
        <f>VLOOKUP(G289,'[2]Sheet1 (2)'!$H:$I,2,0)</f>
        <v>#N/A</v>
      </c>
      <c r="L289" s="354" t="e">
        <f t="shared" si="28"/>
        <v>#N/A</v>
      </c>
      <c r="O289" s="296">
        <v>2101704</v>
      </c>
      <c r="P289" s="296">
        <v>142</v>
      </c>
    </row>
    <row r="290" ht="20.1" customHeight="1" spans="1:17">
      <c r="A290" s="531" t="s">
        <v>585</v>
      </c>
      <c r="B290" s="532">
        <v>34245</v>
      </c>
      <c r="C290" s="533">
        <v>23249</v>
      </c>
      <c r="D290" s="528"/>
      <c r="E290" s="533">
        <v>10066</v>
      </c>
      <c r="F290" s="530"/>
      <c r="G290" s="296">
        <v>2101202</v>
      </c>
      <c r="H290" s="296" t="s">
        <v>585</v>
      </c>
      <c r="I290" s="354">
        <v>33315</v>
      </c>
      <c r="J290" s="296">
        <f>ROUND(I290,0)</f>
        <v>33315</v>
      </c>
      <c r="K290" s="296">
        <f>VLOOKUP(G290,'[2]Sheet1 (2)'!$H:$I,2,0)</f>
        <v>23249</v>
      </c>
      <c r="L290" s="354">
        <f t="shared" si="28"/>
        <v>0</v>
      </c>
      <c r="O290" s="296">
        <v>2109999</v>
      </c>
      <c r="P290" s="296">
        <v>183</v>
      </c>
      <c r="Q290" s="502"/>
    </row>
    <row r="291" ht="20.1" customHeight="1" spans="1:12">
      <c r="A291" s="525" t="s">
        <v>979</v>
      </c>
      <c r="B291" s="526">
        <f t="shared" si="31"/>
        <v>1300</v>
      </c>
      <c r="C291" s="527">
        <f t="shared" si="32"/>
        <v>1320</v>
      </c>
      <c r="D291" s="526">
        <f t="shared" ref="D291:E291" si="34">D292</f>
        <v>0</v>
      </c>
      <c r="E291" s="526">
        <f t="shared" si="34"/>
        <v>0</v>
      </c>
      <c r="F291" s="547"/>
      <c r="K291" s="296" t="e">
        <f>VLOOKUP(G291,'[2]Sheet1 (2)'!$H:$I,2,0)</f>
        <v>#N/A</v>
      </c>
      <c r="L291" s="354" t="e">
        <f t="shared" si="28"/>
        <v>#N/A</v>
      </c>
    </row>
    <row r="292" ht="20.1" customHeight="1" spans="1:14">
      <c r="A292" s="531" t="s">
        <v>588</v>
      </c>
      <c r="B292" s="532">
        <v>1300</v>
      </c>
      <c r="C292" s="533">
        <v>1320</v>
      </c>
      <c r="D292" s="528"/>
      <c r="E292" s="532"/>
      <c r="F292" s="530"/>
      <c r="G292" s="296">
        <v>2101301</v>
      </c>
      <c r="H292" s="296" t="s">
        <v>588</v>
      </c>
      <c r="I292" s="354">
        <v>1320</v>
      </c>
      <c r="J292" s="296">
        <f>ROUND(I292,0)</f>
        <v>1320</v>
      </c>
      <c r="K292" s="296">
        <f>VLOOKUP(G292,'[2]Sheet1 (2)'!$H:$I,2,0)</f>
        <v>1320</v>
      </c>
      <c r="L292" s="354">
        <f t="shared" si="28"/>
        <v>0</v>
      </c>
      <c r="M292"/>
      <c r="N292"/>
    </row>
    <row r="293" ht="20.1" customHeight="1" spans="1:14">
      <c r="A293" s="525" t="s">
        <v>980</v>
      </c>
      <c r="B293" s="526">
        <f t="shared" si="31"/>
        <v>42</v>
      </c>
      <c r="C293" s="527">
        <f t="shared" si="32"/>
        <v>42</v>
      </c>
      <c r="D293" s="526">
        <f t="shared" ref="D293" si="35">D294</f>
        <v>0</v>
      </c>
      <c r="E293" s="527">
        <f>E294+E295</f>
        <v>216</v>
      </c>
      <c r="F293" s="547"/>
      <c r="K293" s="296" t="e">
        <f>VLOOKUP(G293,'[2]Sheet1 (2)'!$H:$I,2,0)</f>
        <v>#N/A</v>
      </c>
      <c r="L293" s="354" t="e">
        <f t="shared" si="28"/>
        <v>#N/A</v>
      </c>
      <c r="M293"/>
      <c r="N293"/>
    </row>
    <row r="294" s="502" customFormat="1" ht="15" spans="1:17">
      <c r="A294" s="531" t="s">
        <v>591</v>
      </c>
      <c r="B294" s="532">
        <v>42</v>
      </c>
      <c r="C294" s="533">
        <v>42</v>
      </c>
      <c r="D294" s="528"/>
      <c r="E294" s="533">
        <v>215</v>
      </c>
      <c r="F294" s="530"/>
      <c r="G294" s="296">
        <v>2101401</v>
      </c>
      <c r="H294" s="296" t="s">
        <v>591</v>
      </c>
      <c r="I294" s="354">
        <v>42</v>
      </c>
      <c r="J294" s="296">
        <f>ROUND(I294,0)</f>
        <v>42</v>
      </c>
      <c r="K294" s="296">
        <f>VLOOKUP(G294,'[2]Sheet1 (2)'!$H:$I,2,0)</f>
        <v>42</v>
      </c>
      <c r="L294" s="354">
        <f t="shared" si="28"/>
        <v>0</v>
      </c>
      <c r="M294" s="296"/>
      <c r="N294" s="296"/>
      <c r="O294" s="296"/>
      <c r="P294" s="296"/>
      <c r="Q294" s="296"/>
    </row>
    <row r="295" ht="20.1" customHeight="1" spans="1:12">
      <c r="A295" s="531" t="s">
        <v>595</v>
      </c>
      <c r="B295" s="532"/>
      <c r="C295" s="533"/>
      <c r="D295" s="528"/>
      <c r="E295" s="533">
        <v>1</v>
      </c>
      <c r="F295" s="530"/>
      <c r="K295" s="296" t="e">
        <f>VLOOKUP(G295,'[2]Sheet1 (2)'!$H:$I,2,0)</f>
        <v>#N/A</v>
      </c>
      <c r="L295" s="354" t="e">
        <f t="shared" si="28"/>
        <v>#N/A</v>
      </c>
    </row>
    <row r="296" ht="20.1" customHeight="1" spans="1:12">
      <c r="A296" s="525" t="s">
        <v>981</v>
      </c>
      <c r="B296" s="526">
        <f t="shared" ref="B296:B302" si="36">B297</f>
        <v>20</v>
      </c>
      <c r="C296" s="527">
        <f t="shared" ref="C296:C302" si="37">C297</f>
        <v>0</v>
      </c>
      <c r="D296" s="528"/>
      <c r="E296" s="534"/>
      <c r="F296" s="530"/>
      <c r="K296" s="296" t="e">
        <f>VLOOKUP(G296,'[2]Sheet1 (2)'!$H:$I,2,0)</f>
        <v>#N/A</v>
      </c>
      <c r="L296" s="354" t="e">
        <f t="shared" si="28"/>
        <v>#N/A</v>
      </c>
    </row>
    <row r="297" ht="20.1" customHeight="1" spans="1:17">
      <c r="A297" s="531" t="s">
        <v>146</v>
      </c>
      <c r="B297" s="532">
        <v>20</v>
      </c>
      <c r="C297" s="533"/>
      <c r="D297" s="528"/>
      <c r="E297" s="534"/>
      <c r="F297" s="530"/>
      <c r="K297" s="296" t="e">
        <f>VLOOKUP(G297,'[2]Sheet1 (2)'!$H:$I,2,0)</f>
        <v>#N/A</v>
      </c>
      <c r="L297" s="354" t="e">
        <f t="shared" si="28"/>
        <v>#N/A</v>
      </c>
      <c r="Q297"/>
    </row>
    <row r="298" ht="20.1" customHeight="1" spans="1:17">
      <c r="A298" s="525" t="s">
        <v>982</v>
      </c>
      <c r="B298" s="526">
        <f t="shared" si="36"/>
        <v>45</v>
      </c>
      <c r="C298" s="527">
        <f t="shared" si="37"/>
        <v>32</v>
      </c>
      <c r="D298" s="528"/>
      <c r="E298" s="529"/>
      <c r="F298" s="530"/>
      <c r="K298" s="296" t="e">
        <f>VLOOKUP(G298,'[2]Sheet1 (2)'!$H:$I,2,0)</f>
        <v>#N/A</v>
      </c>
      <c r="L298" s="354" t="e">
        <f t="shared" si="28"/>
        <v>#N/A</v>
      </c>
      <c r="Q298"/>
    </row>
    <row r="299" ht="20.1" customHeight="1" spans="1:14">
      <c r="A299" s="531" t="s">
        <v>599</v>
      </c>
      <c r="B299" s="532">
        <v>45</v>
      </c>
      <c r="C299" s="533">
        <v>32</v>
      </c>
      <c r="D299" s="528"/>
      <c r="E299" s="534"/>
      <c r="F299" s="530"/>
      <c r="G299" s="296">
        <v>2101601</v>
      </c>
      <c r="H299" s="296" t="s">
        <v>599</v>
      </c>
      <c r="I299" s="354">
        <v>32</v>
      </c>
      <c r="J299" s="296">
        <f>ROUND(I299,0)</f>
        <v>32</v>
      </c>
      <c r="K299" s="296">
        <f>VLOOKUP(G299,'[2]Sheet1 (2)'!$H:$I,2,0)</f>
        <v>32</v>
      </c>
      <c r="L299" s="354">
        <f t="shared" si="28"/>
        <v>0</v>
      </c>
      <c r="M299" s="502"/>
      <c r="N299" s="502"/>
    </row>
    <row r="300" ht="20.1" customHeight="1" spans="1:14">
      <c r="A300" s="555" t="s">
        <v>983</v>
      </c>
      <c r="B300" s="532">
        <f>B301</f>
        <v>0</v>
      </c>
      <c r="C300" s="532">
        <f t="shared" ref="C300:E300" si="38">C301</f>
        <v>0</v>
      </c>
      <c r="D300" s="532"/>
      <c r="E300" s="527">
        <f t="shared" si="38"/>
        <v>142</v>
      </c>
      <c r="F300" s="530"/>
      <c r="L300" s="354"/>
      <c r="M300" s="502"/>
      <c r="N300" s="502"/>
    </row>
    <row r="301" ht="20.1" customHeight="1" spans="1:14">
      <c r="A301" s="531" t="s">
        <v>984</v>
      </c>
      <c r="B301" s="532"/>
      <c r="C301" s="533"/>
      <c r="D301" s="528"/>
      <c r="E301" s="533">
        <v>142</v>
      </c>
      <c r="F301" s="530"/>
      <c r="L301" s="354"/>
      <c r="M301" s="502"/>
      <c r="N301" s="502"/>
    </row>
    <row r="302" ht="20.1" customHeight="1" spans="1:12">
      <c r="A302" s="555" t="s">
        <v>600</v>
      </c>
      <c r="B302" s="556">
        <f t="shared" si="36"/>
        <v>0</v>
      </c>
      <c r="C302" s="527">
        <f t="shared" si="37"/>
        <v>0</v>
      </c>
      <c r="D302" s="546"/>
      <c r="E302" s="527">
        <f>E303</f>
        <v>183</v>
      </c>
      <c r="F302" s="547"/>
      <c r="K302" s="296" t="e">
        <f>VLOOKUP(G302,'[2]Sheet1 (2)'!$H:$I,2,0)</f>
        <v>#N/A</v>
      </c>
      <c r="L302" s="354" t="e">
        <f t="shared" si="28"/>
        <v>#N/A</v>
      </c>
    </row>
    <row r="303" ht="20.1" customHeight="1" spans="1:12">
      <c r="A303" s="531" t="s">
        <v>601</v>
      </c>
      <c r="B303" s="532"/>
      <c r="C303" s="533"/>
      <c r="D303" s="528"/>
      <c r="E303" s="533">
        <v>183</v>
      </c>
      <c r="F303" s="530"/>
      <c r="K303" s="296" t="e">
        <f>VLOOKUP(G303,'[2]Sheet1 (2)'!$H:$I,2,0)</f>
        <v>#N/A</v>
      </c>
      <c r="L303" s="354" t="e">
        <f t="shared" si="28"/>
        <v>#N/A</v>
      </c>
    </row>
    <row r="304" ht="20.25" customHeight="1" spans="1:12">
      <c r="A304" s="521" t="s">
        <v>603</v>
      </c>
      <c r="B304" s="499">
        <f>B305+B307+B309</f>
        <v>2592</v>
      </c>
      <c r="C304" s="522">
        <f>C305+C307+C309</f>
        <v>2598</v>
      </c>
      <c r="D304" s="523">
        <f>ROUND((C304/B304-1)*100,2)</f>
        <v>0.23</v>
      </c>
      <c r="E304" s="539">
        <f>E305+E307</f>
        <v>302</v>
      </c>
      <c r="F304" s="524"/>
      <c r="K304" s="296" t="e">
        <f>VLOOKUP(G304,'[2]Sheet1 (2)'!$H:$I,2,0)</f>
        <v>#N/A</v>
      </c>
      <c r="L304" s="354" t="e">
        <f t="shared" si="28"/>
        <v>#N/A</v>
      </c>
    </row>
    <row r="305" ht="20.1" customHeight="1" spans="1:12">
      <c r="A305" s="525" t="s">
        <v>605</v>
      </c>
      <c r="B305" s="526">
        <f>SUM(B306:B306)</f>
        <v>283</v>
      </c>
      <c r="C305" s="527">
        <f>SUM(C306:C306)</f>
        <v>189</v>
      </c>
      <c r="D305" s="528"/>
      <c r="E305" s="529"/>
      <c r="F305" s="530"/>
      <c r="K305" s="296" t="e">
        <f>VLOOKUP(G305,'[2]Sheet1 (2)'!$H:$I,2,0)</f>
        <v>#N/A</v>
      </c>
      <c r="L305" s="354" t="e">
        <f t="shared" si="28"/>
        <v>#N/A</v>
      </c>
    </row>
    <row r="306" customFormat="1" ht="20.1" customHeight="1" spans="1:17">
      <c r="A306" s="531" t="s">
        <v>93</v>
      </c>
      <c r="B306" s="532">
        <v>283</v>
      </c>
      <c r="C306" s="533">
        <v>189</v>
      </c>
      <c r="D306" s="528"/>
      <c r="E306" s="534"/>
      <c r="F306" s="530"/>
      <c r="G306" s="296">
        <v>2110102</v>
      </c>
      <c r="H306" s="296" t="s">
        <v>93</v>
      </c>
      <c r="I306" s="354">
        <v>189</v>
      </c>
      <c r="J306" s="296">
        <f>ROUND(I306,0)</f>
        <v>189</v>
      </c>
      <c r="K306" s="296">
        <f>VLOOKUP(G306,'[2]Sheet1 (2)'!$H:$I,2,0)</f>
        <v>189</v>
      </c>
      <c r="L306" s="354">
        <f t="shared" si="28"/>
        <v>0</v>
      </c>
      <c r="M306" s="296"/>
      <c r="N306" s="296"/>
      <c r="O306" s="296">
        <v>2110102</v>
      </c>
      <c r="P306" s="296">
        <v>0</v>
      </c>
      <c r="Q306" s="502"/>
    </row>
    <row r="307" customFormat="1" ht="20.1" customHeight="1" spans="1:17">
      <c r="A307" s="525" t="s">
        <v>608</v>
      </c>
      <c r="B307" s="526">
        <f>B308</f>
        <v>1109</v>
      </c>
      <c r="C307" s="527">
        <f>C308</f>
        <v>2409</v>
      </c>
      <c r="D307" s="528"/>
      <c r="E307" s="529">
        <v>302</v>
      </c>
      <c r="F307" s="530"/>
      <c r="G307" s="296"/>
      <c r="H307" s="296"/>
      <c r="I307" s="354"/>
      <c r="J307" s="296"/>
      <c r="K307" s="296" t="e">
        <f>VLOOKUP(G307,'[2]Sheet1 (2)'!$H:$I,2,0)</f>
        <v>#N/A</v>
      </c>
      <c r="L307" s="354" t="e">
        <f t="shared" si="28"/>
        <v>#N/A</v>
      </c>
      <c r="M307" s="296"/>
      <c r="N307" s="296"/>
      <c r="O307" s="296">
        <v>2110302</v>
      </c>
      <c r="P307" s="296">
        <v>302.01</v>
      </c>
      <c r="Q307" s="296"/>
    </row>
    <row r="308" ht="20.1" customHeight="1" spans="1:16">
      <c r="A308" s="531" t="s">
        <v>611</v>
      </c>
      <c r="B308" s="532">
        <v>1109</v>
      </c>
      <c r="C308" s="533">
        <v>2409</v>
      </c>
      <c r="D308" s="528"/>
      <c r="E308" s="533">
        <v>302</v>
      </c>
      <c r="F308" s="530"/>
      <c r="G308" s="296">
        <v>2110302</v>
      </c>
      <c r="H308" s="296" t="s">
        <v>611</v>
      </c>
      <c r="I308" s="354">
        <v>2409</v>
      </c>
      <c r="J308" s="296">
        <f>ROUND(I308,0)</f>
        <v>2409</v>
      </c>
      <c r="K308" s="296">
        <f>VLOOKUP(G308,'[2]Sheet1 (2)'!$H:$I,2,0)</f>
        <v>2409</v>
      </c>
      <c r="L308" s="354">
        <f t="shared" si="28"/>
        <v>0</v>
      </c>
      <c r="O308" s="296">
        <v>2120101</v>
      </c>
      <c r="P308" s="296">
        <v>0</v>
      </c>
    </row>
    <row r="309" ht="20.1" customHeight="1" spans="1:16">
      <c r="A309" s="525" t="s">
        <v>613</v>
      </c>
      <c r="B309" s="526">
        <f>B310</f>
        <v>1200</v>
      </c>
      <c r="C309" s="527">
        <f>C310</f>
        <v>0</v>
      </c>
      <c r="D309" s="546"/>
      <c r="E309" s="557"/>
      <c r="F309" s="547"/>
      <c r="K309" s="296" t="e">
        <f>VLOOKUP(G309,'[2]Sheet1 (2)'!$H:$I,2,0)</f>
        <v>#N/A</v>
      </c>
      <c r="L309" s="354" t="e">
        <f t="shared" si="28"/>
        <v>#N/A</v>
      </c>
      <c r="O309" s="296">
        <v>2120102</v>
      </c>
      <c r="P309" s="296">
        <v>0</v>
      </c>
    </row>
    <row r="310" ht="20.1" customHeight="1" spans="1:16">
      <c r="A310" s="531" t="s">
        <v>614</v>
      </c>
      <c r="B310" s="532">
        <v>1200</v>
      </c>
      <c r="C310" s="533"/>
      <c r="D310" s="528"/>
      <c r="E310" s="534"/>
      <c r="F310" s="530"/>
      <c r="K310" s="296" t="e">
        <f>VLOOKUP(G310,'[2]Sheet1 (2)'!$H:$I,2,0)</f>
        <v>#N/A</v>
      </c>
      <c r="L310" s="354" t="e">
        <f t="shared" si="28"/>
        <v>#N/A</v>
      </c>
      <c r="O310" s="296">
        <v>2120104</v>
      </c>
      <c r="P310" s="296">
        <v>0</v>
      </c>
    </row>
    <row r="311" ht="26" spans="1:16">
      <c r="A311" s="521" t="s">
        <v>626</v>
      </c>
      <c r="B311" s="522">
        <f>B312+B319+B317+B321</f>
        <v>19728</v>
      </c>
      <c r="C311" s="522">
        <f>C312+C319+C317+C321</f>
        <v>10661</v>
      </c>
      <c r="D311" s="523">
        <f>ROUND((C311/B311-1)*100,2)</f>
        <v>-45.96</v>
      </c>
      <c r="E311" s="522">
        <f>E312+E319+E317+E321</f>
        <v>373</v>
      </c>
      <c r="F311" s="497" t="s">
        <v>985</v>
      </c>
      <c r="K311" s="296" t="e">
        <f>VLOOKUP(G311,'[2]Sheet1 (2)'!$H:$I,2,0)</f>
        <v>#N/A</v>
      </c>
      <c r="L311" s="354" t="e">
        <f t="shared" si="28"/>
        <v>#N/A</v>
      </c>
      <c r="M311"/>
      <c r="N311"/>
      <c r="O311" s="296">
        <v>2120199</v>
      </c>
      <c r="P311" s="296">
        <v>0</v>
      </c>
    </row>
    <row r="312" ht="20.1" customHeight="1" spans="1:16">
      <c r="A312" s="525" t="s">
        <v>628</v>
      </c>
      <c r="B312" s="526">
        <f>SUM(B313:B316)</f>
        <v>16928</v>
      </c>
      <c r="C312" s="527">
        <f>SUM(C313:C316)</f>
        <v>10661</v>
      </c>
      <c r="D312" s="528"/>
      <c r="E312" s="529"/>
      <c r="F312" s="530"/>
      <c r="K312" s="296" t="e">
        <f>VLOOKUP(G312,'[2]Sheet1 (2)'!$H:$I,2,0)</f>
        <v>#N/A</v>
      </c>
      <c r="L312" s="354" t="e">
        <f t="shared" si="28"/>
        <v>#N/A</v>
      </c>
      <c r="M312"/>
      <c r="N312"/>
      <c r="O312" s="296">
        <v>2120201</v>
      </c>
      <c r="P312" s="296">
        <v>262.5</v>
      </c>
    </row>
    <row r="313" ht="20.1" customHeight="1" spans="1:16">
      <c r="A313" s="531" t="s">
        <v>91</v>
      </c>
      <c r="B313" s="532">
        <v>523</v>
      </c>
      <c r="C313" s="533">
        <v>525</v>
      </c>
      <c r="D313" s="528"/>
      <c r="E313" s="534"/>
      <c r="F313" s="530"/>
      <c r="G313" s="296">
        <v>2120101</v>
      </c>
      <c r="H313" s="296" t="s">
        <v>91</v>
      </c>
      <c r="I313" s="354">
        <v>524.61</v>
      </c>
      <c r="J313" s="296">
        <f>ROUND(I313,0)</f>
        <v>525</v>
      </c>
      <c r="K313" s="296">
        <f>VLOOKUP(G313,'[2]Sheet1 (2)'!$H:$I,2,0)</f>
        <v>524.61</v>
      </c>
      <c r="L313" s="354">
        <f t="shared" si="28"/>
        <v>0.389999999999986</v>
      </c>
      <c r="O313" s="296">
        <v>2120501</v>
      </c>
      <c r="P313" s="296">
        <v>110.38</v>
      </c>
    </row>
    <row r="314" ht="20.1" customHeight="1" spans="1:16">
      <c r="A314" s="531" t="s">
        <v>93</v>
      </c>
      <c r="B314" s="532">
        <v>11059</v>
      </c>
      <c r="C314" s="533">
        <v>4851</v>
      </c>
      <c r="D314" s="528"/>
      <c r="E314" s="534"/>
      <c r="F314" s="530"/>
      <c r="G314" s="296">
        <v>2120102</v>
      </c>
      <c r="H314" s="296" t="s">
        <v>93</v>
      </c>
      <c r="I314" s="354">
        <v>4779.462</v>
      </c>
      <c r="J314" s="296">
        <f>ROUND(I314,0)</f>
        <v>4779</v>
      </c>
      <c r="K314" s="296">
        <f>VLOOKUP(G314,'[2]Sheet1 (2)'!$H:$I,2,0)</f>
        <v>4851.462</v>
      </c>
      <c r="L314" s="354">
        <f t="shared" si="28"/>
        <v>-0.462000000000444</v>
      </c>
      <c r="O314" s="296">
        <v>2120802</v>
      </c>
      <c r="P314" s="296">
        <v>0</v>
      </c>
    </row>
    <row r="315" ht="20.1" customHeight="1" spans="1:12">
      <c r="A315" s="531" t="s">
        <v>631</v>
      </c>
      <c r="B315" s="532">
        <v>219</v>
      </c>
      <c r="C315" s="533">
        <v>219</v>
      </c>
      <c r="D315" s="528"/>
      <c r="E315" s="534"/>
      <c r="F315" s="530"/>
      <c r="G315" s="296">
        <v>2120104</v>
      </c>
      <c r="H315" s="296" t="s">
        <v>631</v>
      </c>
      <c r="I315" s="354">
        <v>219</v>
      </c>
      <c r="J315" s="296">
        <f>ROUND(I315,0)</f>
        <v>219</v>
      </c>
      <c r="K315" s="296">
        <f>VLOOKUP(G315,'[2]Sheet1 (2)'!$H:$I,2,0)</f>
        <v>219</v>
      </c>
      <c r="L315" s="354">
        <f t="shared" si="28"/>
        <v>0</v>
      </c>
    </row>
    <row r="316" ht="20.1" customHeight="1" spans="1:17">
      <c r="A316" s="531" t="s">
        <v>633</v>
      </c>
      <c r="B316" s="532">
        <v>5127</v>
      </c>
      <c r="C316" s="533">
        <v>5066</v>
      </c>
      <c r="D316" s="528"/>
      <c r="E316" s="534"/>
      <c r="F316" s="530"/>
      <c r="G316" s="296">
        <v>2120199</v>
      </c>
      <c r="H316" s="296" t="s">
        <v>633</v>
      </c>
      <c r="I316" s="354">
        <v>5065.98</v>
      </c>
      <c r="J316" s="296">
        <f>ROUND(I316,0)</f>
        <v>5066</v>
      </c>
      <c r="K316" s="296">
        <f>VLOOKUP(G316,'[2]Sheet1 (2)'!$H:$I,2,0)</f>
        <v>5065.98</v>
      </c>
      <c r="L316" s="354">
        <f t="shared" si="28"/>
        <v>0.0200000000004366</v>
      </c>
      <c r="Q316"/>
    </row>
    <row r="317" ht="20.1" customHeight="1" spans="1:17">
      <c r="A317" s="525" t="s">
        <v>635</v>
      </c>
      <c r="B317" s="532"/>
      <c r="C317" s="533"/>
      <c r="D317" s="528"/>
      <c r="E317" s="527">
        <v>263</v>
      </c>
      <c r="F317" s="530"/>
      <c r="L317" s="354"/>
      <c r="Q317"/>
    </row>
    <row r="318" ht="20.1" customHeight="1" spans="1:17">
      <c r="A318" s="531" t="s">
        <v>636</v>
      </c>
      <c r="B318" s="532"/>
      <c r="C318" s="533"/>
      <c r="D318" s="528"/>
      <c r="E318" s="533">
        <v>263</v>
      </c>
      <c r="F318" s="530"/>
      <c r="L318" s="354"/>
      <c r="Q318"/>
    </row>
    <row r="319" ht="20.1" customHeight="1" spans="1:17">
      <c r="A319" s="525" t="s">
        <v>638</v>
      </c>
      <c r="B319" s="526">
        <f>SUM(B320:B320)</f>
        <v>2800</v>
      </c>
      <c r="C319" s="527">
        <f>SUM(C320:C320)</f>
        <v>0</v>
      </c>
      <c r="D319" s="528"/>
      <c r="E319" s="529"/>
      <c r="F319" s="530"/>
      <c r="K319" s="296" t="e">
        <f>VLOOKUP(G319,'[2]Sheet1 (2)'!$H:$I,2,0)</f>
        <v>#N/A</v>
      </c>
      <c r="L319" s="354" t="e">
        <f t="shared" si="28"/>
        <v>#N/A</v>
      </c>
      <c r="O319" s="296">
        <v>2120803</v>
      </c>
      <c r="P319" s="296">
        <v>0</v>
      </c>
      <c r="Q319"/>
    </row>
    <row r="320" ht="20.1" customHeight="1" spans="1:16">
      <c r="A320" s="531" t="s">
        <v>639</v>
      </c>
      <c r="B320" s="532">
        <v>2800</v>
      </c>
      <c r="C320" s="533"/>
      <c r="D320" s="528"/>
      <c r="E320" s="534"/>
      <c r="F320" s="530"/>
      <c r="K320" s="296" t="e">
        <f>VLOOKUP(G320,'[2]Sheet1 (2)'!$H:$I,2,0)</f>
        <v>#N/A</v>
      </c>
      <c r="L320" s="354" t="e">
        <f t="shared" si="28"/>
        <v>#N/A</v>
      </c>
      <c r="O320" s="296">
        <v>2120804</v>
      </c>
      <c r="P320" s="296">
        <v>0</v>
      </c>
    </row>
    <row r="321" ht="20.1" customHeight="1" spans="1:16">
      <c r="A321" s="525" t="s">
        <v>643</v>
      </c>
      <c r="B321" s="532">
        <f>B322</f>
        <v>0</v>
      </c>
      <c r="C321" s="533">
        <f>C322</f>
        <v>0</v>
      </c>
      <c r="D321" s="528"/>
      <c r="E321" s="527">
        <f>E322</f>
        <v>110</v>
      </c>
      <c r="F321" s="530"/>
      <c r="K321" s="296" t="e">
        <f>VLOOKUP(G321,'[2]Sheet1 (2)'!$H:$I,2,0)</f>
        <v>#N/A</v>
      </c>
      <c r="L321" s="354" t="e">
        <f t="shared" si="28"/>
        <v>#N/A</v>
      </c>
      <c r="O321" s="296">
        <v>2120805</v>
      </c>
      <c r="P321" s="296">
        <v>0</v>
      </c>
    </row>
    <row r="322" ht="20.1" customHeight="1" spans="1:16">
      <c r="A322" s="531" t="s">
        <v>644</v>
      </c>
      <c r="B322" s="532"/>
      <c r="C322" s="533"/>
      <c r="D322" s="528"/>
      <c r="E322" s="533">
        <v>110</v>
      </c>
      <c r="F322" s="530"/>
      <c r="K322" s="296" t="e">
        <f>VLOOKUP(G322,'[2]Sheet1 (2)'!$H:$I,2,0)</f>
        <v>#N/A</v>
      </c>
      <c r="L322" s="354" t="e">
        <f t="shared" si="28"/>
        <v>#N/A</v>
      </c>
      <c r="O322" s="296">
        <v>2120814</v>
      </c>
      <c r="P322" s="296">
        <v>0</v>
      </c>
    </row>
    <row r="323" ht="20.1" customHeight="1" spans="1:16">
      <c r="A323" s="521" t="s">
        <v>649</v>
      </c>
      <c r="B323" s="499">
        <f>B324+B343+B353+B364+B367+B374+B371</f>
        <v>60577</v>
      </c>
      <c r="C323" s="522">
        <f>C324+C343+C353+C364+C367+C374+C371</f>
        <v>60794</v>
      </c>
      <c r="D323" s="523">
        <f>ROUND((C323/B323-1)*100,2)</f>
        <v>0.36</v>
      </c>
      <c r="E323" s="499">
        <f>E324+E343+E353+E364+E367+E374+E371</f>
        <v>6950</v>
      </c>
      <c r="F323" s="541"/>
      <c r="K323" s="296" t="e">
        <f>VLOOKUP(G323,'[2]Sheet1 (2)'!$H:$I,2,0)</f>
        <v>#N/A</v>
      </c>
      <c r="L323" s="354" t="e">
        <f t="shared" si="28"/>
        <v>#N/A</v>
      </c>
      <c r="O323" s="296">
        <v>2120815</v>
      </c>
      <c r="P323" s="296">
        <v>0</v>
      </c>
    </row>
    <row r="324" ht="20.1" customHeight="1" spans="1:16">
      <c r="A324" s="525" t="s">
        <v>651</v>
      </c>
      <c r="B324" s="526">
        <f>SUM(B325:B342)</f>
        <v>23618</v>
      </c>
      <c r="C324" s="527">
        <f>SUM(C325:C342)</f>
        <v>21908</v>
      </c>
      <c r="D324" s="526">
        <f>SUM(D325:D342)</f>
        <v>0</v>
      </c>
      <c r="E324" s="526">
        <f>SUM(E325:E342)</f>
        <v>3436</v>
      </c>
      <c r="F324" s="530"/>
      <c r="K324" s="296" t="e">
        <f>VLOOKUP(G324,'[2]Sheet1 (2)'!$H:$I,2,0)</f>
        <v>#N/A</v>
      </c>
      <c r="L324" s="354" t="e">
        <f t="shared" si="28"/>
        <v>#N/A</v>
      </c>
      <c r="O324" s="296">
        <v>2120816</v>
      </c>
      <c r="P324" s="296">
        <v>0</v>
      </c>
    </row>
    <row r="325" ht="20.1" customHeight="1" spans="1:16">
      <c r="A325" s="531" t="s">
        <v>91</v>
      </c>
      <c r="B325" s="532">
        <v>890</v>
      </c>
      <c r="C325" s="533">
        <v>845</v>
      </c>
      <c r="D325" s="528"/>
      <c r="E325" s="534"/>
      <c r="F325" s="530"/>
      <c r="G325" s="296">
        <v>2130101</v>
      </c>
      <c r="H325" s="296" t="s">
        <v>91</v>
      </c>
      <c r="I325" s="354">
        <v>844.55</v>
      </c>
      <c r="J325" s="296">
        <f t="shared" ref="J325:J331" si="39">ROUND(I325,0)</f>
        <v>845</v>
      </c>
      <c r="K325" s="296">
        <f>VLOOKUP(G325,'[2]Sheet1 (2)'!$H:$I,2,0)</f>
        <v>844.55</v>
      </c>
      <c r="L325" s="354">
        <f t="shared" si="28"/>
        <v>0.450000000000045</v>
      </c>
      <c r="O325" s="296">
        <v>2120899</v>
      </c>
      <c r="P325" s="296">
        <v>0</v>
      </c>
    </row>
    <row r="326" ht="20.1" customHeight="1" spans="1:16">
      <c r="A326" s="531" t="s">
        <v>93</v>
      </c>
      <c r="B326" s="532"/>
      <c r="C326" s="533">
        <v>43</v>
      </c>
      <c r="D326" s="528"/>
      <c r="E326" s="534"/>
      <c r="F326" s="530"/>
      <c r="G326" s="296">
        <v>2130102</v>
      </c>
      <c r="H326" s="296" t="s">
        <v>93</v>
      </c>
      <c r="I326" s="354">
        <v>43.25</v>
      </c>
      <c r="J326" s="296">
        <f t="shared" si="39"/>
        <v>43</v>
      </c>
      <c r="K326" s="296">
        <f>VLOOKUP(G326,'[2]Sheet1 (2)'!$H:$I,2,0)</f>
        <v>43.25</v>
      </c>
      <c r="L326" s="354">
        <f t="shared" si="28"/>
        <v>-0.25</v>
      </c>
      <c r="O326" s="296">
        <v>2121099</v>
      </c>
      <c r="P326" s="296">
        <v>0</v>
      </c>
    </row>
    <row r="327" ht="20.1" customHeight="1" spans="1:16">
      <c r="A327" s="531" t="s">
        <v>101</v>
      </c>
      <c r="B327" s="532">
        <v>18470</v>
      </c>
      <c r="C327" s="533">
        <v>18303</v>
      </c>
      <c r="D327" s="528"/>
      <c r="E327" s="534"/>
      <c r="F327" s="530"/>
      <c r="G327" s="296">
        <v>2130104</v>
      </c>
      <c r="H327" s="296" t="s">
        <v>101</v>
      </c>
      <c r="I327" s="354">
        <v>18302.54</v>
      </c>
      <c r="J327" s="296">
        <f t="shared" si="39"/>
        <v>18303</v>
      </c>
      <c r="K327" s="296">
        <f>VLOOKUP(G327,'[2]Sheet1 (2)'!$H:$I,2,0)</f>
        <v>18302.54</v>
      </c>
      <c r="L327" s="354">
        <f t="shared" si="28"/>
        <v>0.459999999999127</v>
      </c>
      <c r="O327" s="296">
        <v>2121302</v>
      </c>
      <c r="P327" s="296">
        <v>0</v>
      </c>
    </row>
    <row r="328" ht="20.1" customHeight="1" spans="1:16">
      <c r="A328" s="531" t="s">
        <v>655</v>
      </c>
      <c r="B328" s="532">
        <v>10</v>
      </c>
      <c r="C328" s="533">
        <v>8</v>
      </c>
      <c r="D328" s="528"/>
      <c r="E328" s="534"/>
      <c r="F328" s="530"/>
      <c r="G328" s="296">
        <v>2130106</v>
      </c>
      <c r="H328" s="296" t="s">
        <v>655</v>
      </c>
      <c r="I328" s="354">
        <v>8</v>
      </c>
      <c r="J328" s="296">
        <f t="shared" si="39"/>
        <v>8</v>
      </c>
      <c r="K328" s="296">
        <f>VLOOKUP(G328,'[2]Sheet1 (2)'!$H:$I,2,0)</f>
        <v>8</v>
      </c>
      <c r="L328" s="354">
        <f t="shared" si="28"/>
        <v>0</v>
      </c>
      <c r="O328" s="296">
        <v>2121399</v>
      </c>
      <c r="P328" s="296">
        <v>0</v>
      </c>
    </row>
    <row r="329" ht="20.1" customHeight="1" spans="1:16">
      <c r="A329" s="531" t="s">
        <v>657</v>
      </c>
      <c r="B329" s="532">
        <v>77</v>
      </c>
      <c r="C329" s="533">
        <v>429</v>
      </c>
      <c r="D329" s="528"/>
      <c r="E329" s="533">
        <v>186</v>
      </c>
      <c r="F329" s="530"/>
      <c r="G329" s="296">
        <v>2130108</v>
      </c>
      <c r="H329" s="296" t="s">
        <v>657</v>
      </c>
      <c r="I329" s="354">
        <v>428.5</v>
      </c>
      <c r="J329" s="296">
        <f t="shared" si="39"/>
        <v>429</v>
      </c>
      <c r="K329" s="296">
        <f>VLOOKUP(G329,'[2]Sheet1 (2)'!$H:$I,2,0)</f>
        <v>428.5</v>
      </c>
      <c r="L329" s="354">
        <f t="shared" si="28"/>
        <v>0.5</v>
      </c>
      <c r="O329" s="296">
        <v>2121401</v>
      </c>
      <c r="P329" s="296">
        <v>0</v>
      </c>
    </row>
    <row r="330" ht="20.1" customHeight="1" spans="1:16">
      <c r="A330" s="531" t="s">
        <v>659</v>
      </c>
      <c r="B330" s="532">
        <v>45</v>
      </c>
      <c r="C330" s="533">
        <v>35</v>
      </c>
      <c r="D330" s="528"/>
      <c r="E330" s="535">
        <v>130</v>
      </c>
      <c r="F330" s="530"/>
      <c r="G330" s="296">
        <v>2130109</v>
      </c>
      <c r="H330" s="296" t="s">
        <v>659</v>
      </c>
      <c r="I330" s="354">
        <v>35</v>
      </c>
      <c r="J330" s="296">
        <f t="shared" si="39"/>
        <v>35</v>
      </c>
      <c r="K330" s="296">
        <f>VLOOKUP(G330,'[2]Sheet1 (2)'!$H:$I,2,0)</f>
        <v>35</v>
      </c>
      <c r="L330" s="354">
        <f t="shared" si="28"/>
        <v>0</v>
      </c>
      <c r="O330" s="296">
        <v>2121499</v>
      </c>
      <c r="P330" s="296">
        <v>0</v>
      </c>
    </row>
    <row r="331" ht="20.1" customHeight="1" spans="1:16">
      <c r="A331" s="531" t="s">
        <v>661</v>
      </c>
      <c r="B331" s="532">
        <v>253</v>
      </c>
      <c r="C331" s="533">
        <v>19</v>
      </c>
      <c r="D331" s="528"/>
      <c r="E331" s="534"/>
      <c r="F331" s="530"/>
      <c r="G331" s="296">
        <v>2130110</v>
      </c>
      <c r="H331" s="296" t="s">
        <v>661</v>
      </c>
      <c r="I331" s="354">
        <v>19</v>
      </c>
      <c r="J331" s="296">
        <f t="shared" si="39"/>
        <v>19</v>
      </c>
      <c r="K331" s="296">
        <f>VLOOKUP(G331,'[2]Sheet1 (2)'!$H:$I,2,0)</f>
        <v>19</v>
      </c>
      <c r="L331" s="354">
        <f t="shared" si="28"/>
        <v>0</v>
      </c>
      <c r="O331" s="296">
        <v>2130101</v>
      </c>
      <c r="P331" s="296">
        <v>0</v>
      </c>
    </row>
    <row r="332" ht="20.1" customHeight="1" spans="1:16">
      <c r="A332" s="531" t="s">
        <v>663</v>
      </c>
      <c r="B332" s="532">
        <v>3</v>
      </c>
      <c r="C332" s="533"/>
      <c r="D332" s="528"/>
      <c r="E332" s="534"/>
      <c r="F332" s="530"/>
      <c r="G332" s="296">
        <v>2130111</v>
      </c>
      <c r="K332" s="296" t="e">
        <f>VLOOKUP(G332,'[2]Sheet1 (2)'!$H:$I,2,0)</f>
        <v>#N/A</v>
      </c>
      <c r="L332" s="354" t="e">
        <f t="shared" si="28"/>
        <v>#N/A</v>
      </c>
      <c r="O332" s="296">
        <v>2130102</v>
      </c>
      <c r="P332" s="296">
        <v>0</v>
      </c>
    </row>
    <row r="333" ht="20.1" customHeight="1" spans="1:16">
      <c r="A333" s="531" t="s">
        <v>986</v>
      </c>
      <c r="B333" s="140"/>
      <c r="C333" s="533"/>
      <c r="D333" s="528"/>
      <c r="E333" s="535">
        <v>30</v>
      </c>
      <c r="F333" s="530"/>
      <c r="G333" s="296">
        <v>2130112</v>
      </c>
      <c r="K333" s="296">
        <f>VLOOKUP(G333,'[2]Sheet1 (2)'!$H:$I,2,0)</f>
        <v>0</v>
      </c>
      <c r="L333" s="354">
        <f t="shared" si="28"/>
        <v>0</v>
      </c>
      <c r="O333" s="296">
        <v>2130104</v>
      </c>
      <c r="P333" s="296">
        <v>0</v>
      </c>
    </row>
    <row r="334" ht="20.1" customHeight="1" spans="1:16">
      <c r="A334" s="531" t="s">
        <v>665</v>
      </c>
      <c r="B334" s="532">
        <v>625</v>
      </c>
      <c r="C334" s="533">
        <v>478</v>
      </c>
      <c r="D334" s="528"/>
      <c r="E334" s="534"/>
      <c r="F334" s="530"/>
      <c r="G334" s="296">
        <v>2130119</v>
      </c>
      <c r="H334" s="296" t="s">
        <v>665</v>
      </c>
      <c r="I334" s="354">
        <v>477.5</v>
      </c>
      <c r="J334" s="296">
        <f>ROUND(I334,0)</f>
        <v>478</v>
      </c>
      <c r="K334" s="296">
        <f>VLOOKUP(G334,'[2]Sheet1 (2)'!$H:$I,2,0)</f>
        <v>477.5</v>
      </c>
      <c r="L334" s="354">
        <f>C334-K334</f>
        <v>0.5</v>
      </c>
      <c r="O334" s="296">
        <v>2130106</v>
      </c>
      <c r="P334" s="296">
        <v>0</v>
      </c>
    </row>
    <row r="335" ht="20.1" customHeight="1" spans="1:12">
      <c r="A335" s="531" t="s">
        <v>987</v>
      </c>
      <c r="B335" s="532"/>
      <c r="C335" s="533"/>
      <c r="D335" s="528"/>
      <c r="E335" s="533">
        <v>2525</v>
      </c>
      <c r="F335" s="530"/>
      <c r="G335" s="296">
        <v>2130120</v>
      </c>
      <c r="L335" s="354"/>
    </row>
    <row r="336" ht="20.1" customHeight="1" spans="1:16">
      <c r="A336" s="531" t="s">
        <v>667</v>
      </c>
      <c r="B336" s="532">
        <v>404</v>
      </c>
      <c r="C336" s="533">
        <v>100</v>
      </c>
      <c r="D336" s="528"/>
      <c r="E336" s="534"/>
      <c r="F336" s="530"/>
      <c r="G336" s="296">
        <v>2130122</v>
      </c>
      <c r="H336" s="296" t="s">
        <v>667</v>
      </c>
      <c r="I336" s="354">
        <v>100</v>
      </c>
      <c r="J336" s="296">
        <f>ROUND(I336,0)</f>
        <v>100</v>
      </c>
      <c r="K336" s="296">
        <f>VLOOKUP(G336,'[2]Sheet1 (2)'!$H:$I,2,0)</f>
        <v>100</v>
      </c>
      <c r="L336" s="354">
        <f t="shared" ref="L336:L361" si="40">C336-K336</f>
        <v>0</v>
      </c>
      <c r="O336" s="296">
        <v>2130108</v>
      </c>
      <c r="P336" s="296">
        <v>186</v>
      </c>
    </row>
    <row r="337" ht="20.1" customHeight="1" spans="1:16">
      <c r="A337" s="531" t="s">
        <v>669</v>
      </c>
      <c r="B337" s="532">
        <v>590</v>
      </c>
      <c r="C337" s="533">
        <v>135</v>
      </c>
      <c r="D337" s="528"/>
      <c r="E337" s="534"/>
      <c r="F337" s="530"/>
      <c r="G337" s="296">
        <v>2130124</v>
      </c>
      <c r="H337" s="296" t="s">
        <v>669</v>
      </c>
      <c r="I337" s="354">
        <v>135</v>
      </c>
      <c r="J337" s="296">
        <f>ROUND(I337,0)</f>
        <v>135</v>
      </c>
      <c r="K337" s="296">
        <f>VLOOKUP(G337,'[2]Sheet1 (2)'!$H:$I,2,0)</f>
        <v>135</v>
      </c>
      <c r="L337" s="354">
        <f t="shared" si="40"/>
        <v>0</v>
      </c>
      <c r="O337" s="296">
        <v>2130109</v>
      </c>
      <c r="P337" s="296">
        <v>130</v>
      </c>
    </row>
    <row r="338" ht="20.1" customHeight="1" spans="1:16">
      <c r="A338" s="531" t="s">
        <v>671</v>
      </c>
      <c r="B338" s="532">
        <v>180</v>
      </c>
      <c r="C338" s="533">
        <v>21</v>
      </c>
      <c r="D338" s="528"/>
      <c r="E338" s="534"/>
      <c r="F338" s="530"/>
      <c r="G338" s="296">
        <v>2130125</v>
      </c>
      <c r="H338" s="296" t="s">
        <v>671</v>
      </c>
      <c r="I338" s="354">
        <v>21</v>
      </c>
      <c r="J338" s="296">
        <f>ROUND(I338,0)</f>
        <v>21</v>
      </c>
      <c r="K338" s="296">
        <f>VLOOKUP(G338,'[2]Sheet1 (2)'!$H:$I,2,0)</f>
        <v>21</v>
      </c>
      <c r="L338" s="354">
        <f t="shared" si="40"/>
        <v>0</v>
      </c>
      <c r="O338" s="296">
        <v>2130110</v>
      </c>
      <c r="P338" s="296">
        <v>0</v>
      </c>
    </row>
    <row r="339" ht="20.1" customHeight="1" spans="1:16">
      <c r="A339" s="531" t="s">
        <v>988</v>
      </c>
      <c r="B339" s="532">
        <v>9</v>
      </c>
      <c r="C339" s="533">
        <v>389</v>
      </c>
      <c r="D339" s="528"/>
      <c r="E339" s="534"/>
      <c r="F339" s="530"/>
      <c r="G339" s="296">
        <v>2130135</v>
      </c>
      <c r="H339" s="296" t="s">
        <v>988</v>
      </c>
      <c r="I339" s="354">
        <v>389</v>
      </c>
      <c r="J339" s="296">
        <f>ROUND(I339,0)</f>
        <v>389</v>
      </c>
      <c r="K339" s="296">
        <f>VLOOKUP(G339,'[2]Sheet1 (2)'!$H:$I,2,0)</f>
        <v>389</v>
      </c>
      <c r="L339" s="354">
        <f t="shared" si="40"/>
        <v>0</v>
      </c>
      <c r="O339" s="296">
        <v>2130112</v>
      </c>
      <c r="P339" s="296">
        <v>30</v>
      </c>
    </row>
    <row r="340" ht="20.1" customHeight="1" spans="1:16">
      <c r="A340" s="531" t="s">
        <v>681</v>
      </c>
      <c r="B340" s="532"/>
      <c r="C340" s="533"/>
      <c r="D340" s="528"/>
      <c r="E340" s="535">
        <v>240</v>
      </c>
      <c r="F340" s="530"/>
      <c r="G340" s="296">
        <v>2130148</v>
      </c>
      <c r="K340" s="296">
        <f>VLOOKUP(G340,'[2]Sheet1 (2)'!$H:$I,2,0)</f>
        <v>0</v>
      </c>
      <c r="L340" s="354">
        <f t="shared" si="40"/>
        <v>0</v>
      </c>
      <c r="O340" s="296">
        <v>2130119</v>
      </c>
      <c r="P340" s="296">
        <v>0</v>
      </c>
    </row>
    <row r="341" ht="20.1" customHeight="1" spans="1:16">
      <c r="A341" s="531" t="s">
        <v>989</v>
      </c>
      <c r="B341" s="532">
        <v>668</v>
      </c>
      <c r="C341" s="533">
        <v>35</v>
      </c>
      <c r="D341" s="528"/>
      <c r="E341" s="534"/>
      <c r="F341" s="530"/>
      <c r="G341" s="296">
        <v>2130153</v>
      </c>
      <c r="H341" s="296" t="s">
        <v>989</v>
      </c>
      <c r="I341" s="354">
        <v>35</v>
      </c>
      <c r="J341" s="296">
        <f>ROUND(I341,0)</f>
        <v>35</v>
      </c>
      <c r="K341" s="296">
        <f>VLOOKUP(G341,'[2]Sheet1 (2)'!$H:$I,2,0)</f>
        <v>35</v>
      </c>
      <c r="L341" s="354">
        <f t="shared" si="40"/>
        <v>0</v>
      </c>
      <c r="O341" s="296">
        <v>2130120</v>
      </c>
      <c r="P341" s="296">
        <v>2525</v>
      </c>
    </row>
    <row r="342" ht="20.1" customHeight="1" spans="1:16">
      <c r="A342" s="531" t="s">
        <v>685</v>
      </c>
      <c r="B342" s="532">
        <v>1394</v>
      </c>
      <c r="C342" s="533">
        <v>1068</v>
      </c>
      <c r="D342" s="528"/>
      <c r="E342" s="535">
        <v>325</v>
      </c>
      <c r="F342" s="530"/>
      <c r="G342" s="296">
        <v>2130199</v>
      </c>
      <c r="H342" s="296" t="s">
        <v>685</v>
      </c>
      <c r="I342" s="354">
        <v>1068.368</v>
      </c>
      <c r="J342" s="296">
        <f>ROUND(I342,0)</f>
        <v>1068</v>
      </c>
      <c r="K342" s="296">
        <f>VLOOKUP(G342,'[2]Sheet1 (2)'!$H:$I,2,0)</f>
        <v>1068.368</v>
      </c>
      <c r="L342" s="354">
        <f t="shared" si="40"/>
        <v>-0.367999999999938</v>
      </c>
      <c r="O342" s="296">
        <v>2130122</v>
      </c>
      <c r="P342" s="296">
        <v>0</v>
      </c>
    </row>
    <row r="343" ht="20.1" customHeight="1" spans="1:16">
      <c r="A343" s="525" t="s">
        <v>687</v>
      </c>
      <c r="B343" s="526">
        <f>SUM(B344:B352)</f>
        <v>6206</v>
      </c>
      <c r="C343" s="527">
        <f>SUM(C344:C352)</f>
        <v>4860</v>
      </c>
      <c r="D343" s="526">
        <f>SUM(D344:D352)</f>
        <v>0</v>
      </c>
      <c r="E343" s="526">
        <f>SUM(E344:E352)</f>
        <v>1207</v>
      </c>
      <c r="F343" s="530"/>
      <c r="K343" s="296" t="e">
        <f>VLOOKUP(G343,'[2]Sheet1 (2)'!$H:$I,2,0)</f>
        <v>#N/A</v>
      </c>
      <c r="L343" s="354" t="e">
        <f t="shared" si="40"/>
        <v>#N/A</v>
      </c>
      <c r="O343" s="296">
        <v>2130124</v>
      </c>
      <c r="P343" s="296">
        <v>0</v>
      </c>
    </row>
    <row r="344" ht="20.1" customHeight="1" spans="1:16">
      <c r="A344" s="531" t="s">
        <v>91</v>
      </c>
      <c r="B344" s="532">
        <v>203</v>
      </c>
      <c r="C344" s="533">
        <v>186</v>
      </c>
      <c r="D344" s="528"/>
      <c r="E344" s="534"/>
      <c r="F344" s="530"/>
      <c r="G344" s="296">
        <v>2130201</v>
      </c>
      <c r="H344" s="296" t="s">
        <v>91</v>
      </c>
      <c r="I344" s="354">
        <v>186.19</v>
      </c>
      <c r="J344" s="296">
        <f t="shared" ref="J344:J352" si="41">ROUND(I344,0)</f>
        <v>186</v>
      </c>
      <c r="K344" s="296">
        <f>VLOOKUP(G344,'[2]Sheet1 (2)'!$H:$I,2,0)</f>
        <v>186.19</v>
      </c>
      <c r="L344" s="354">
        <f t="shared" si="40"/>
        <v>-0.189999999999998</v>
      </c>
      <c r="O344" s="296">
        <v>2130125</v>
      </c>
      <c r="P344" s="296">
        <v>0</v>
      </c>
    </row>
    <row r="345" ht="20.1" customHeight="1" spans="1:16">
      <c r="A345" s="531" t="s">
        <v>93</v>
      </c>
      <c r="B345" s="532"/>
      <c r="C345" s="533">
        <v>8</v>
      </c>
      <c r="D345" s="528"/>
      <c r="E345" s="534"/>
      <c r="F345" s="530"/>
      <c r="G345" s="296">
        <v>2130202</v>
      </c>
      <c r="H345" s="296" t="s">
        <v>93</v>
      </c>
      <c r="I345" s="354">
        <v>8.48</v>
      </c>
      <c r="J345" s="296">
        <f t="shared" si="41"/>
        <v>8</v>
      </c>
      <c r="K345" s="296">
        <f>VLOOKUP(G345,'[2]Sheet1 (2)'!$H:$I,2,0)</f>
        <v>8.48</v>
      </c>
      <c r="L345" s="354">
        <f t="shared" si="40"/>
        <v>-0.48</v>
      </c>
      <c r="O345" s="296">
        <v>2130135</v>
      </c>
      <c r="P345" s="296">
        <v>0</v>
      </c>
    </row>
    <row r="346" ht="20.1" customHeight="1" spans="1:16">
      <c r="A346" s="531" t="s">
        <v>690</v>
      </c>
      <c r="B346" s="532">
        <v>1148</v>
      </c>
      <c r="C346" s="533">
        <v>1034</v>
      </c>
      <c r="D346" s="528"/>
      <c r="E346" s="534"/>
      <c r="F346" s="530"/>
      <c r="G346" s="296">
        <v>2130204</v>
      </c>
      <c r="H346" s="296" t="s">
        <v>690</v>
      </c>
      <c r="I346" s="354">
        <v>1034.35</v>
      </c>
      <c r="J346" s="296">
        <f t="shared" si="41"/>
        <v>1034</v>
      </c>
      <c r="K346" s="296">
        <f>VLOOKUP(G346,'[2]Sheet1 (2)'!$H:$I,2,0)</f>
        <v>1034.35</v>
      </c>
      <c r="L346" s="354">
        <f t="shared" si="40"/>
        <v>-0.349999999999909</v>
      </c>
      <c r="O346" s="296">
        <v>2130148</v>
      </c>
      <c r="P346" s="296">
        <v>240</v>
      </c>
    </row>
    <row r="347" ht="20.1" customHeight="1" spans="1:16">
      <c r="A347" s="531" t="s">
        <v>692</v>
      </c>
      <c r="B347" s="532">
        <v>776</v>
      </c>
      <c r="C347" s="533">
        <v>377</v>
      </c>
      <c r="D347" s="528"/>
      <c r="E347" s="532"/>
      <c r="F347" s="530"/>
      <c r="G347" s="296">
        <v>2130205</v>
      </c>
      <c r="H347" s="296" t="s">
        <v>692</v>
      </c>
      <c r="I347" s="354">
        <v>37.8</v>
      </c>
      <c r="J347" s="296">
        <f t="shared" si="41"/>
        <v>38</v>
      </c>
      <c r="K347" s="296">
        <f>VLOOKUP(G347,'[2]Sheet1 (2)'!$H:$I,2,0)</f>
        <v>376.8</v>
      </c>
      <c r="L347" s="354">
        <f t="shared" si="40"/>
        <v>0.199999999999989</v>
      </c>
      <c r="O347" s="296">
        <v>2130153</v>
      </c>
      <c r="P347" s="296">
        <v>0</v>
      </c>
    </row>
    <row r="348" ht="20.1" customHeight="1" spans="1:16">
      <c r="A348" s="531" t="s">
        <v>696</v>
      </c>
      <c r="B348" s="532">
        <v>129</v>
      </c>
      <c r="C348" s="533">
        <v>98</v>
      </c>
      <c r="D348" s="528"/>
      <c r="E348" s="535">
        <v>4</v>
      </c>
      <c r="F348" s="530"/>
      <c r="G348" s="296">
        <v>2130207</v>
      </c>
      <c r="H348" s="296" t="s">
        <v>696</v>
      </c>
      <c r="I348" s="354">
        <v>98.18</v>
      </c>
      <c r="J348" s="296">
        <f t="shared" si="41"/>
        <v>98</v>
      </c>
      <c r="K348" s="296">
        <f>VLOOKUP(G348,'[2]Sheet1 (2)'!$H:$I,2,0)</f>
        <v>98.18</v>
      </c>
      <c r="L348" s="354">
        <f t="shared" si="40"/>
        <v>-0.180000000000007</v>
      </c>
      <c r="O348" s="296">
        <v>2130199</v>
      </c>
      <c r="P348" s="296">
        <v>325.06</v>
      </c>
    </row>
    <row r="349" ht="20.1" customHeight="1" spans="1:16">
      <c r="A349" s="531" t="s">
        <v>698</v>
      </c>
      <c r="B349" s="532">
        <v>22</v>
      </c>
      <c r="C349" s="533">
        <v>22</v>
      </c>
      <c r="D349" s="528"/>
      <c r="E349" s="533">
        <v>1079</v>
      </c>
      <c r="F349" s="530"/>
      <c r="G349" s="296">
        <v>2130209</v>
      </c>
      <c r="H349" s="296" t="s">
        <v>698</v>
      </c>
      <c r="I349" s="354">
        <v>22</v>
      </c>
      <c r="J349" s="296">
        <f t="shared" si="41"/>
        <v>22</v>
      </c>
      <c r="K349" s="296">
        <f>VLOOKUP(G349,'[2]Sheet1 (2)'!$H:$I,2,0)</f>
        <v>22</v>
      </c>
      <c r="L349" s="354">
        <f t="shared" si="40"/>
        <v>0</v>
      </c>
      <c r="O349" s="296">
        <v>2130201</v>
      </c>
      <c r="P349" s="296">
        <v>0</v>
      </c>
    </row>
    <row r="350" ht="20.1" customHeight="1" spans="1:16">
      <c r="A350" s="531" t="s">
        <v>700</v>
      </c>
      <c r="B350" s="532">
        <v>16</v>
      </c>
      <c r="C350" s="533">
        <v>20</v>
      </c>
      <c r="D350" s="528"/>
      <c r="E350" s="533"/>
      <c r="F350" s="530"/>
      <c r="G350" s="296">
        <v>2130213</v>
      </c>
      <c r="H350" s="296" t="s">
        <v>700</v>
      </c>
      <c r="I350" s="354">
        <v>20</v>
      </c>
      <c r="J350" s="296">
        <f t="shared" si="41"/>
        <v>20</v>
      </c>
      <c r="K350" s="296">
        <f>VLOOKUP(G350,'[2]Sheet1 (2)'!$H:$I,2,0)</f>
        <v>20</v>
      </c>
      <c r="L350" s="354">
        <f t="shared" si="40"/>
        <v>0</v>
      </c>
      <c r="O350" s="296">
        <v>2130202</v>
      </c>
      <c r="P350" s="296">
        <v>0</v>
      </c>
    </row>
    <row r="351" ht="20.1" customHeight="1" spans="1:16">
      <c r="A351" s="531" t="s">
        <v>704</v>
      </c>
      <c r="B351" s="532">
        <v>3214</v>
      </c>
      <c r="C351" s="533">
        <v>2437</v>
      </c>
      <c r="D351" s="528"/>
      <c r="E351" s="533"/>
      <c r="F351" s="530"/>
      <c r="G351" s="296">
        <v>2130234</v>
      </c>
      <c r="H351" s="296" t="s">
        <v>704</v>
      </c>
      <c r="I351" s="354">
        <v>37</v>
      </c>
      <c r="J351" s="296">
        <f t="shared" si="41"/>
        <v>37</v>
      </c>
      <c r="K351" s="296">
        <f>VLOOKUP(G351,'[2]Sheet1 (2)'!$H:$I,2,0)</f>
        <v>2437</v>
      </c>
      <c r="L351" s="354">
        <f t="shared" si="40"/>
        <v>0</v>
      </c>
      <c r="O351" s="296">
        <v>2130204</v>
      </c>
      <c r="P351" s="296">
        <v>0</v>
      </c>
    </row>
    <row r="352" ht="20.1" customHeight="1" spans="1:16">
      <c r="A352" s="531" t="s">
        <v>706</v>
      </c>
      <c r="B352" s="532">
        <v>698</v>
      </c>
      <c r="C352" s="533">
        <v>678</v>
      </c>
      <c r="D352" s="528"/>
      <c r="E352" s="533">
        <v>124</v>
      </c>
      <c r="F352" s="530"/>
      <c r="G352" s="296">
        <v>2130299</v>
      </c>
      <c r="H352" s="296" t="s">
        <v>706</v>
      </c>
      <c r="I352" s="354">
        <v>678.18</v>
      </c>
      <c r="J352" s="296">
        <f t="shared" si="41"/>
        <v>678</v>
      </c>
      <c r="K352" s="296">
        <f>VLOOKUP(G352,'[2]Sheet1 (2)'!$H:$I,2,0)</f>
        <v>678.18</v>
      </c>
      <c r="L352" s="354">
        <f t="shared" si="40"/>
        <v>-0.17999999999995</v>
      </c>
      <c r="O352" s="296">
        <v>2130205</v>
      </c>
      <c r="P352" s="296">
        <v>0</v>
      </c>
    </row>
    <row r="353" ht="20.1" customHeight="1" spans="1:16">
      <c r="A353" s="525" t="s">
        <v>708</v>
      </c>
      <c r="B353" s="526">
        <f>SUM(B354:B363)</f>
        <v>5010</v>
      </c>
      <c r="C353" s="527">
        <f>SUM(C354:C363)</f>
        <v>4887</v>
      </c>
      <c r="D353" s="526">
        <f>SUM(D354:D363)</f>
        <v>0</v>
      </c>
      <c r="E353" s="526">
        <f>SUM(E354:E363)</f>
        <v>0</v>
      </c>
      <c r="F353" s="530"/>
      <c r="K353" s="296" t="e">
        <f>VLOOKUP(G353,'[2]Sheet1 (2)'!$H:$I,2,0)</f>
        <v>#N/A</v>
      </c>
      <c r="L353" s="354" t="e">
        <f t="shared" si="40"/>
        <v>#N/A</v>
      </c>
      <c r="O353" s="296">
        <v>2130207</v>
      </c>
      <c r="P353" s="296">
        <v>3.91</v>
      </c>
    </row>
    <row r="354" ht="20.1" customHeight="1" spans="1:16">
      <c r="A354" s="531" t="s">
        <v>91</v>
      </c>
      <c r="B354" s="532">
        <v>423</v>
      </c>
      <c r="C354" s="533">
        <v>427</v>
      </c>
      <c r="D354" s="528"/>
      <c r="E354" s="534"/>
      <c r="F354" s="530"/>
      <c r="G354" s="296">
        <v>2130301</v>
      </c>
      <c r="H354" s="296" t="s">
        <v>91</v>
      </c>
      <c r="I354" s="354">
        <v>426.57</v>
      </c>
      <c r="J354" s="296">
        <f t="shared" ref="J354:J361" si="42">ROUND(I354,0)</f>
        <v>427</v>
      </c>
      <c r="K354" s="296">
        <f>VLOOKUP(G354,'[2]Sheet1 (2)'!$H:$I,2,0)</f>
        <v>426.57</v>
      </c>
      <c r="L354" s="354">
        <f t="shared" si="40"/>
        <v>0.430000000000007</v>
      </c>
      <c r="O354" s="296">
        <v>2130209</v>
      </c>
      <c r="P354" s="296">
        <v>1078.5</v>
      </c>
    </row>
    <row r="355" ht="20.1" customHeight="1" spans="1:16">
      <c r="A355" s="531" t="s">
        <v>93</v>
      </c>
      <c r="B355" s="532"/>
      <c r="C355" s="533">
        <v>15</v>
      </c>
      <c r="D355" s="528"/>
      <c r="E355" s="534"/>
      <c r="F355" s="530"/>
      <c r="G355" s="296">
        <v>2130302</v>
      </c>
      <c r="H355" s="296" t="s">
        <v>93</v>
      </c>
      <c r="I355" s="354">
        <v>14.8</v>
      </c>
      <c r="J355" s="296">
        <f t="shared" si="42"/>
        <v>15</v>
      </c>
      <c r="K355" s="296">
        <f>VLOOKUP(G355,'[2]Sheet1 (2)'!$H:$I,2,0)</f>
        <v>14.8</v>
      </c>
      <c r="L355" s="354">
        <f t="shared" si="40"/>
        <v>0.199999999999999</v>
      </c>
      <c r="O355" s="296">
        <v>2130213</v>
      </c>
      <c r="P355" s="296">
        <v>0</v>
      </c>
    </row>
    <row r="356" ht="20.1" customHeight="1" spans="1:16">
      <c r="A356" s="531" t="s">
        <v>711</v>
      </c>
      <c r="B356" s="532">
        <v>748</v>
      </c>
      <c r="C356" s="533">
        <v>744</v>
      </c>
      <c r="D356" s="528"/>
      <c r="E356" s="534"/>
      <c r="F356" s="530"/>
      <c r="G356" s="296">
        <v>2130304</v>
      </c>
      <c r="H356" s="296" t="s">
        <v>711</v>
      </c>
      <c r="I356" s="354">
        <v>743.82</v>
      </c>
      <c r="J356" s="296">
        <f t="shared" si="42"/>
        <v>744</v>
      </c>
      <c r="K356" s="296">
        <f>VLOOKUP(G356,'[2]Sheet1 (2)'!$H:$I,2,0)</f>
        <v>743.82</v>
      </c>
      <c r="L356" s="354">
        <f t="shared" si="40"/>
        <v>0.17999999999995</v>
      </c>
      <c r="O356" s="296">
        <v>2130234</v>
      </c>
      <c r="P356" s="296">
        <v>0</v>
      </c>
    </row>
    <row r="357" ht="20.1" customHeight="1" spans="1:16">
      <c r="A357" s="531" t="s">
        <v>713</v>
      </c>
      <c r="B357" s="532">
        <v>1159</v>
      </c>
      <c r="C357" s="533">
        <v>235</v>
      </c>
      <c r="D357" s="528"/>
      <c r="E357" s="532"/>
      <c r="F357" s="530"/>
      <c r="G357" s="296">
        <v>2130305</v>
      </c>
      <c r="H357" s="296" t="s">
        <v>713</v>
      </c>
      <c r="I357" s="354">
        <v>235</v>
      </c>
      <c r="J357" s="296">
        <f t="shared" si="42"/>
        <v>235</v>
      </c>
      <c r="K357" s="296">
        <f>VLOOKUP(G357,'[2]Sheet1 (2)'!$H:$I,2,0)</f>
        <v>235</v>
      </c>
      <c r="L357" s="354">
        <f t="shared" si="40"/>
        <v>0</v>
      </c>
      <c r="O357" s="296">
        <v>2130299</v>
      </c>
      <c r="P357" s="296">
        <v>124</v>
      </c>
    </row>
    <row r="358" ht="20.1" customHeight="1" spans="1:16">
      <c r="A358" s="531" t="s">
        <v>715</v>
      </c>
      <c r="B358" s="532">
        <v>1785</v>
      </c>
      <c r="C358" s="533">
        <v>1695</v>
      </c>
      <c r="D358" s="528"/>
      <c r="E358" s="532"/>
      <c r="F358" s="530"/>
      <c r="G358" s="296">
        <v>2130306</v>
      </c>
      <c r="H358" s="296" t="s">
        <v>715</v>
      </c>
      <c r="I358" s="354">
        <v>1694.67</v>
      </c>
      <c r="J358" s="296">
        <f t="shared" si="42"/>
        <v>1695</v>
      </c>
      <c r="K358" s="296">
        <f>VLOOKUP(G358,'[2]Sheet1 (2)'!$H:$I,2,0)</f>
        <v>1694.67</v>
      </c>
      <c r="L358" s="354">
        <f t="shared" si="40"/>
        <v>0.329999999999927</v>
      </c>
      <c r="O358" s="296">
        <v>2130301</v>
      </c>
      <c r="P358" s="296">
        <v>0</v>
      </c>
    </row>
    <row r="359" ht="20.1" customHeight="1" spans="1:16">
      <c r="A359" s="531" t="s">
        <v>717</v>
      </c>
      <c r="B359" s="532">
        <v>28</v>
      </c>
      <c r="C359" s="533">
        <v>27</v>
      </c>
      <c r="D359" s="528"/>
      <c r="E359" s="534"/>
      <c r="F359" s="530"/>
      <c r="G359" s="296">
        <v>2130309</v>
      </c>
      <c r="H359" s="296" t="s">
        <v>717</v>
      </c>
      <c r="I359" s="354">
        <v>27</v>
      </c>
      <c r="J359" s="296">
        <f t="shared" si="42"/>
        <v>27</v>
      </c>
      <c r="K359" s="296">
        <f>VLOOKUP(G359,'[2]Sheet1 (2)'!$H:$I,2,0)</f>
        <v>27</v>
      </c>
      <c r="L359" s="354">
        <f t="shared" si="40"/>
        <v>0</v>
      </c>
      <c r="O359" s="296">
        <v>2130302</v>
      </c>
      <c r="P359" s="296">
        <v>0</v>
      </c>
    </row>
    <row r="360" ht="20.1" customHeight="1" spans="1:16">
      <c r="A360" s="531" t="s">
        <v>719</v>
      </c>
      <c r="B360" s="532">
        <v>20</v>
      </c>
      <c r="C360" s="533">
        <v>61</v>
      </c>
      <c r="D360" s="528"/>
      <c r="E360" s="532"/>
      <c r="F360" s="530"/>
      <c r="G360" s="296">
        <v>2130310</v>
      </c>
      <c r="H360" s="296" t="s">
        <v>719</v>
      </c>
      <c r="I360" s="354">
        <v>61</v>
      </c>
      <c r="J360" s="296">
        <f t="shared" si="42"/>
        <v>61</v>
      </c>
      <c r="K360" s="296">
        <f>VLOOKUP(G360,'[2]Sheet1 (2)'!$H:$I,2,0)</f>
        <v>61</v>
      </c>
      <c r="L360" s="354">
        <f t="shared" si="40"/>
        <v>0</v>
      </c>
      <c r="O360" s="296">
        <v>2130304</v>
      </c>
      <c r="P360" s="296">
        <v>0</v>
      </c>
    </row>
    <row r="361" ht="20.1" customHeight="1" spans="1:16">
      <c r="A361" s="531" t="s">
        <v>724</v>
      </c>
      <c r="B361" s="532">
        <v>392</v>
      </c>
      <c r="C361" s="533">
        <v>292</v>
      </c>
      <c r="D361" s="528"/>
      <c r="E361" s="534"/>
      <c r="F361" s="530"/>
      <c r="G361" s="296">
        <v>2130314</v>
      </c>
      <c r="H361" s="296" t="s">
        <v>724</v>
      </c>
      <c r="I361" s="354">
        <v>291.8</v>
      </c>
      <c r="J361" s="296">
        <f t="shared" si="42"/>
        <v>292</v>
      </c>
      <c r="K361" s="296">
        <f>VLOOKUP(G361,'[2]Sheet1 (2)'!$H:$I,2,0)</f>
        <v>291.8</v>
      </c>
      <c r="L361" s="354">
        <f t="shared" si="40"/>
        <v>0.199999999999989</v>
      </c>
      <c r="O361" s="296">
        <v>2130306</v>
      </c>
      <c r="P361" s="296">
        <v>0</v>
      </c>
    </row>
    <row r="362" ht="15" spans="1:16">
      <c r="A362" s="531" t="s">
        <v>990</v>
      </c>
      <c r="B362" s="532">
        <v>20</v>
      </c>
      <c r="C362" s="533"/>
      <c r="D362" s="528"/>
      <c r="E362" s="534"/>
      <c r="F362" s="530"/>
      <c r="K362" s="296" t="e">
        <f>VLOOKUP(G362,'[2]Sheet1 (2)'!$H:$I,2,0)</f>
        <v>#N/A</v>
      </c>
      <c r="L362" s="354" t="e">
        <f t="shared" ref="L362:L399" si="43">C362-K362</f>
        <v>#N/A</v>
      </c>
      <c r="O362" s="296">
        <v>2130314</v>
      </c>
      <c r="P362" s="296">
        <v>0</v>
      </c>
    </row>
    <row r="363" ht="20.1" customHeight="1" spans="1:16">
      <c r="A363" s="531" t="s">
        <v>734</v>
      </c>
      <c r="B363" s="532">
        <v>435</v>
      </c>
      <c r="C363" s="533">
        <v>1391</v>
      </c>
      <c r="D363" s="528"/>
      <c r="E363" s="534"/>
      <c r="F363" s="530"/>
      <c r="G363" s="296">
        <v>2130399</v>
      </c>
      <c r="H363" s="296" t="s">
        <v>734</v>
      </c>
      <c r="I363" s="354">
        <v>1391</v>
      </c>
      <c r="J363" s="296">
        <f>ROUND(I363,0)</f>
        <v>1391</v>
      </c>
      <c r="K363" s="296">
        <f>VLOOKUP(G363,'[2]Sheet1 (2)'!$H:$I,2,0)</f>
        <v>1391</v>
      </c>
      <c r="L363" s="354">
        <f t="shared" si="43"/>
        <v>0</v>
      </c>
      <c r="O363" s="296">
        <v>2130399</v>
      </c>
      <c r="P363" s="296">
        <v>0</v>
      </c>
    </row>
    <row r="364" ht="20.1" customHeight="1" spans="1:16">
      <c r="A364" s="525" t="s">
        <v>736</v>
      </c>
      <c r="B364" s="526">
        <f>SUM(B365:B366)</f>
        <v>3223</v>
      </c>
      <c r="C364" s="527">
        <f>SUM(C365:C366)</f>
        <v>3326</v>
      </c>
      <c r="D364" s="526">
        <f>SUM(D365:D366)</f>
        <v>0</v>
      </c>
      <c r="E364" s="527">
        <f>SUM(E365:E366)</f>
        <v>886</v>
      </c>
      <c r="F364" s="530"/>
      <c r="K364" s="296" t="e">
        <f>VLOOKUP(G364,'[2]Sheet1 (2)'!$H:$I,2,0)</f>
        <v>#N/A</v>
      </c>
      <c r="L364" s="354" t="e">
        <f t="shared" si="43"/>
        <v>#N/A</v>
      </c>
      <c r="O364" s="296">
        <v>2130504</v>
      </c>
      <c r="P364" s="296">
        <v>0</v>
      </c>
    </row>
    <row r="365" ht="31.5" customHeight="1" spans="1:16">
      <c r="A365" s="531" t="s">
        <v>737</v>
      </c>
      <c r="B365" s="532">
        <v>50</v>
      </c>
      <c r="C365" s="533">
        <v>50</v>
      </c>
      <c r="D365" s="528"/>
      <c r="E365" s="533"/>
      <c r="F365" s="530"/>
      <c r="G365" s="296">
        <v>2130504</v>
      </c>
      <c r="H365" s="296" t="s">
        <v>737</v>
      </c>
      <c r="I365" s="354">
        <v>50.4</v>
      </c>
      <c r="J365" s="296">
        <f>ROUND(I365,0)</f>
        <v>50</v>
      </c>
      <c r="K365" s="296">
        <f>VLOOKUP(G365,'[2]Sheet1 (2)'!$H:$I,2,0)</f>
        <v>50.4</v>
      </c>
      <c r="L365" s="354">
        <f t="shared" si="43"/>
        <v>-0.399999999999999</v>
      </c>
      <c r="O365" s="296">
        <v>2130599</v>
      </c>
      <c r="P365" s="296">
        <v>886</v>
      </c>
    </row>
    <row r="366" ht="20.1" customHeight="1" spans="1:16">
      <c r="A366" s="531" t="s">
        <v>740</v>
      </c>
      <c r="B366" s="532">
        <v>3173</v>
      </c>
      <c r="C366" s="533">
        <v>3276</v>
      </c>
      <c r="D366" s="528"/>
      <c r="E366" s="533">
        <v>886</v>
      </c>
      <c r="F366" s="530"/>
      <c r="G366" s="296">
        <v>2130599</v>
      </c>
      <c r="H366" s="296" t="s">
        <v>740</v>
      </c>
      <c r="I366" s="354">
        <v>3064</v>
      </c>
      <c r="J366" s="296">
        <f>ROUND(I366,0)</f>
        <v>3064</v>
      </c>
      <c r="K366" s="296">
        <f>VLOOKUP(G366,'[2]Sheet1 (2)'!$H:$I,2,0)</f>
        <v>3276</v>
      </c>
      <c r="L366" s="354">
        <f t="shared" si="43"/>
        <v>0</v>
      </c>
      <c r="O366" s="296">
        <v>2130701</v>
      </c>
      <c r="P366" s="296">
        <v>1421</v>
      </c>
    </row>
    <row r="367" ht="20.1" customHeight="1" spans="1:16">
      <c r="A367" s="525" t="s">
        <v>742</v>
      </c>
      <c r="B367" s="526">
        <f>SUM(B368:B370)</f>
        <v>15432</v>
      </c>
      <c r="C367" s="527">
        <f>SUM(C368:C370)</f>
        <v>15646</v>
      </c>
      <c r="D367" s="526">
        <f t="shared" ref="D367:E367" si="44">SUM(D368:D370)</f>
        <v>0</v>
      </c>
      <c r="E367" s="527">
        <f t="shared" si="44"/>
        <v>1421</v>
      </c>
      <c r="F367" s="530"/>
      <c r="K367" s="296" t="e">
        <f>VLOOKUP(G367,'[2]Sheet1 (2)'!$H:$I,2,0)</f>
        <v>#N/A</v>
      </c>
      <c r="L367" s="354" t="e">
        <f t="shared" si="43"/>
        <v>#N/A</v>
      </c>
      <c r="O367" s="296">
        <v>2130705</v>
      </c>
      <c r="P367" s="296">
        <v>0</v>
      </c>
    </row>
    <row r="368" ht="20.1" customHeight="1" spans="1:16">
      <c r="A368" s="531" t="s">
        <v>991</v>
      </c>
      <c r="B368" s="526"/>
      <c r="C368" s="527"/>
      <c r="D368" s="528"/>
      <c r="E368" s="533">
        <v>1421</v>
      </c>
      <c r="F368" s="530"/>
      <c r="K368" s="296" t="e">
        <f>VLOOKUP(G368,'[2]Sheet1 (2)'!$H:$I,2,0)</f>
        <v>#N/A</v>
      </c>
      <c r="L368" s="354" t="e">
        <f t="shared" si="43"/>
        <v>#N/A</v>
      </c>
      <c r="O368" s="296">
        <v>2130803</v>
      </c>
      <c r="P368" s="296">
        <v>0</v>
      </c>
    </row>
    <row r="369" ht="20.1" customHeight="1" spans="1:16">
      <c r="A369" s="531" t="s">
        <v>743</v>
      </c>
      <c r="B369" s="532">
        <v>15332</v>
      </c>
      <c r="C369" s="533">
        <v>15646</v>
      </c>
      <c r="D369" s="528"/>
      <c r="E369" s="535"/>
      <c r="F369" s="530"/>
      <c r="G369" s="296">
        <v>2130705</v>
      </c>
      <c r="H369" s="296" t="s">
        <v>743</v>
      </c>
      <c r="I369" s="354">
        <v>15802.16</v>
      </c>
      <c r="J369" s="296">
        <f>ROUND(I369,0)</f>
        <v>15802</v>
      </c>
      <c r="K369" s="296">
        <f>VLOOKUP(G369,'[2]Sheet1 (2)'!$H:$I,2,0)</f>
        <v>15646.16</v>
      </c>
      <c r="L369" s="354">
        <f t="shared" si="43"/>
        <v>-0.159999999999854</v>
      </c>
      <c r="O369" s="296">
        <v>2130804</v>
      </c>
      <c r="P369" s="296">
        <v>0</v>
      </c>
    </row>
    <row r="370" ht="20.1" customHeight="1" spans="1:16">
      <c r="A370" s="531" t="s">
        <v>992</v>
      </c>
      <c r="B370" s="532">
        <v>100</v>
      </c>
      <c r="C370" s="533"/>
      <c r="D370" s="528"/>
      <c r="E370" s="535"/>
      <c r="F370" s="530"/>
      <c r="K370" s="296" t="e">
        <f>VLOOKUP(G370,'[2]Sheet1 (2)'!$H:$I,2,0)</f>
        <v>#N/A</v>
      </c>
      <c r="L370" s="354" t="e">
        <f t="shared" si="43"/>
        <v>#N/A</v>
      </c>
      <c r="O370" s="296">
        <v>2139999</v>
      </c>
      <c r="P370" s="296">
        <v>0</v>
      </c>
    </row>
    <row r="371" ht="20.1" customHeight="1" spans="1:16">
      <c r="A371" s="525" t="s">
        <v>747</v>
      </c>
      <c r="B371" s="526">
        <f>B372</f>
        <v>88</v>
      </c>
      <c r="C371" s="527">
        <f>C372+C373</f>
        <v>367</v>
      </c>
      <c r="D371" s="528"/>
      <c r="E371" s="535"/>
      <c r="F371" s="530"/>
      <c r="K371" s="296" t="e">
        <f>VLOOKUP(G371,'[2]Sheet1 (2)'!$H:$I,2,0)</f>
        <v>#N/A</v>
      </c>
      <c r="L371" s="354" t="e">
        <f t="shared" si="43"/>
        <v>#N/A</v>
      </c>
      <c r="O371" s="296">
        <v>2140101</v>
      </c>
      <c r="P371" s="296">
        <v>0</v>
      </c>
    </row>
    <row r="372" ht="20.1" customHeight="1" spans="1:16">
      <c r="A372" s="531" t="s">
        <v>748</v>
      </c>
      <c r="B372" s="532">
        <v>88</v>
      </c>
      <c r="C372" s="533">
        <v>362</v>
      </c>
      <c r="D372" s="528"/>
      <c r="E372" s="535"/>
      <c r="F372" s="530"/>
      <c r="G372" s="296">
        <v>2130803</v>
      </c>
      <c r="H372" s="296" t="s">
        <v>748</v>
      </c>
      <c r="I372" s="354">
        <v>362</v>
      </c>
      <c r="J372" s="296">
        <f>ROUND(I372,0)</f>
        <v>362</v>
      </c>
      <c r="K372" s="296">
        <f>VLOOKUP(G372,'[2]Sheet1 (2)'!$H:$I,2,0)</f>
        <v>362</v>
      </c>
      <c r="L372" s="354">
        <f t="shared" si="43"/>
        <v>0</v>
      </c>
      <c r="O372" s="296">
        <v>2140102</v>
      </c>
      <c r="P372" s="296">
        <v>0</v>
      </c>
    </row>
    <row r="373" ht="20.1" customHeight="1" spans="1:16">
      <c r="A373" s="531" t="s">
        <v>752</v>
      </c>
      <c r="B373" s="532"/>
      <c r="C373" s="533">
        <v>5</v>
      </c>
      <c r="D373" s="528"/>
      <c r="E373" s="535"/>
      <c r="F373" s="530"/>
      <c r="G373" s="296">
        <v>2130804</v>
      </c>
      <c r="H373" s="296" t="s">
        <v>752</v>
      </c>
      <c r="I373" s="354">
        <v>5</v>
      </c>
      <c r="J373" s="296">
        <f>ROUND(I373,0)</f>
        <v>5</v>
      </c>
      <c r="K373" s="296">
        <f>VLOOKUP(G373,'[2]Sheet1 (2)'!$H:$I,2,0)</f>
        <v>5</v>
      </c>
      <c r="L373" s="354">
        <f t="shared" si="43"/>
        <v>0</v>
      </c>
      <c r="O373" s="502">
        <v>2140199</v>
      </c>
      <c r="P373" s="502">
        <v>0</v>
      </c>
    </row>
    <row r="374" ht="20.1" customHeight="1" spans="1:16">
      <c r="A374" s="525" t="s">
        <v>755</v>
      </c>
      <c r="B374" s="526">
        <f>SUM(B375)</f>
        <v>7000</v>
      </c>
      <c r="C374" s="527">
        <f>SUM(C375)</f>
        <v>9800</v>
      </c>
      <c r="D374" s="528"/>
      <c r="E374" s="529"/>
      <c r="F374" s="530"/>
      <c r="K374" s="296" t="e">
        <f>VLOOKUP(G374,'[2]Sheet1 (2)'!$H:$I,2,0)</f>
        <v>#N/A</v>
      </c>
      <c r="L374" s="354" t="e">
        <f t="shared" si="43"/>
        <v>#N/A</v>
      </c>
      <c r="O374" s="296">
        <v>2150805</v>
      </c>
      <c r="P374" s="296">
        <v>0</v>
      </c>
    </row>
    <row r="375" ht="30.75" customHeight="1" spans="1:16">
      <c r="A375" s="531" t="s">
        <v>756</v>
      </c>
      <c r="B375" s="532">
        <v>7000</v>
      </c>
      <c r="C375" s="533">
        <v>9800</v>
      </c>
      <c r="D375" s="528"/>
      <c r="E375" s="534"/>
      <c r="F375" s="530"/>
      <c r="G375" s="296">
        <v>2139999</v>
      </c>
      <c r="H375" s="296" t="s">
        <v>756</v>
      </c>
      <c r="I375" s="354">
        <v>9800</v>
      </c>
      <c r="J375" s="296">
        <f>ROUND(I375,0)</f>
        <v>9800</v>
      </c>
      <c r="K375" s="296">
        <f>VLOOKUP(G375,'[2]Sheet1 (2)'!$H:$I,2,0)</f>
        <v>9800</v>
      </c>
      <c r="L375" s="354">
        <f t="shared" si="43"/>
        <v>0</v>
      </c>
      <c r="O375" s="502">
        <v>2160250</v>
      </c>
      <c r="P375" s="502">
        <v>0</v>
      </c>
    </row>
    <row r="376" ht="20.1" customHeight="1" spans="1:16">
      <c r="A376" s="521" t="s">
        <v>758</v>
      </c>
      <c r="B376" s="499">
        <f>B377</f>
        <v>4379</v>
      </c>
      <c r="C376" s="522">
        <f>C377</f>
        <v>4110</v>
      </c>
      <c r="D376" s="523">
        <f>ROUND((C376/B376-1)*100,2)</f>
        <v>-6.14</v>
      </c>
      <c r="E376" s="539"/>
      <c r="F376" s="541"/>
      <c r="K376" s="296" t="e">
        <f>VLOOKUP(G376,'[2]Sheet1 (2)'!$H:$I,2,0)</f>
        <v>#N/A</v>
      </c>
      <c r="L376" s="354" t="e">
        <f t="shared" si="43"/>
        <v>#N/A</v>
      </c>
      <c r="O376" s="296">
        <v>2160299</v>
      </c>
      <c r="P376" s="296">
        <v>142</v>
      </c>
    </row>
    <row r="377" ht="20.1" customHeight="1" spans="1:16">
      <c r="A377" s="525" t="s">
        <v>760</v>
      </c>
      <c r="B377" s="526">
        <f>SUM(B378:B380)</f>
        <v>4379</v>
      </c>
      <c r="C377" s="527">
        <f>SUM(C378:C380)</f>
        <v>4110</v>
      </c>
      <c r="D377" s="528"/>
      <c r="E377" s="529"/>
      <c r="F377" s="530"/>
      <c r="K377" s="296" t="e">
        <f>VLOOKUP(G377,'[2]Sheet1 (2)'!$H:$I,2,0)</f>
        <v>#N/A</v>
      </c>
      <c r="L377" s="354" t="e">
        <f t="shared" si="43"/>
        <v>#N/A</v>
      </c>
      <c r="O377" s="296">
        <v>2160601</v>
      </c>
      <c r="P377" s="296">
        <v>0</v>
      </c>
    </row>
    <row r="378" ht="20.1" customHeight="1" spans="1:16">
      <c r="A378" s="531" t="s">
        <v>91</v>
      </c>
      <c r="B378" s="532">
        <v>1888</v>
      </c>
      <c r="C378" s="533">
        <v>1749</v>
      </c>
      <c r="D378" s="528"/>
      <c r="E378" s="534"/>
      <c r="F378" s="530"/>
      <c r="G378" s="296">
        <v>2140101</v>
      </c>
      <c r="H378" s="296" t="s">
        <v>91</v>
      </c>
      <c r="I378" s="354">
        <v>1748.5</v>
      </c>
      <c r="J378" s="296">
        <f>ROUND(I378,0)</f>
        <v>1749</v>
      </c>
      <c r="K378" s="296">
        <f>VLOOKUP(G378,'[2]Sheet1 (2)'!$H:$I,2,0)</f>
        <v>1748.5</v>
      </c>
      <c r="L378" s="354">
        <f t="shared" si="43"/>
        <v>0.5</v>
      </c>
      <c r="O378" s="296">
        <v>2160602</v>
      </c>
      <c r="P378" s="296">
        <v>0</v>
      </c>
    </row>
    <row r="379" ht="20.1" customHeight="1" spans="1:16">
      <c r="A379" s="531" t="s">
        <v>93</v>
      </c>
      <c r="B379" s="532">
        <v>1486</v>
      </c>
      <c r="C379" s="533">
        <v>1424</v>
      </c>
      <c r="D379" s="528"/>
      <c r="E379" s="534"/>
      <c r="F379" s="530"/>
      <c r="G379" s="296">
        <v>2140102</v>
      </c>
      <c r="H379" s="296" t="s">
        <v>93</v>
      </c>
      <c r="I379" s="354">
        <v>1424.18</v>
      </c>
      <c r="J379" s="296">
        <f>ROUND(I379,0)</f>
        <v>1424</v>
      </c>
      <c r="K379" s="296">
        <f>VLOOKUP(G379,'[2]Sheet1 (2)'!$H:$I,2,0)</f>
        <v>1424.18</v>
      </c>
      <c r="L379" s="354">
        <f t="shared" si="43"/>
        <v>-0.180000000000064</v>
      </c>
      <c r="O379" s="296">
        <v>2179999</v>
      </c>
      <c r="P379" s="296">
        <v>0</v>
      </c>
    </row>
    <row r="380" ht="20.1" customHeight="1" spans="1:16">
      <c r="A380" s="531" t="s">
        <v>993</v>
      </c>
      <c r="B380" s="532">
        <v>1005</v>
      </c>
      <c r="C380" s="533">
        <v>937</v>
      </c>
      <c r="D380" s="528"/>
      <c r="E380" s="535"/>
      <c r="F380" s="530"/>
      <c r="G380" s="296">
        <v>2140199</v>
      </c>
      <c r="H380" s="296" t="s">
        <v>766</v>
      </c>
      <c r="I380" s="354">
        <v>937.3</v>
      </c>
      <c r="J380" s="296">
        <f>ROUND(I380,0)</f>
        <v>937</v>
      </c>
      <c r="K380" s="296">
        <f>VLOOKUP(G380,'[2]Sheet1 (2)'!$H:$I,2,0)</f>
        <v>937.3</v>
      </c>
      <c r="L380" s="354">
        <f t="shared" si="43"/>
        <v>-0.299999999999955</v>
      </c>
      <c r="O380" s="296">
        <v>2200101</v>
      </c>
      <c r="P380" s="296">
        <v>0</v>
      </c>
    </row>
    <row r="381" ht="26" spans="1:16">
      <c r="A381" s="521" t="s">
        <v>768</v>
      </c>
      <c r="B381" s="499">
        <f>B382</f>
        <v>57000</v>
      </c>
      <c r="C381" s="522">
        <f>C382</f>
        <v>32000</v>
      </c>
      <c r="D381" s="523">
        <f>ROUND((C381/B381-1)*100,2)</f>
        <v>-43.86</v>
      </c>
      <c r="E381" s="522">
        <f>E382+E384</f>
        <v>3600</v>
      </c>
      <c r="F381" s="497" t="s">
        <v>994</v>
      </c>
      <c r="K381" s="296" t="e">
        <f>VLOOKUP(G381,'[2]Sheet1 (2)'!$H:$I,2,0)</f>
        <v>#N/A</v>
      </c>
      <c r="L381" s="354" t="e">
        <f t="shared" si="43"/>
        <v>#N/A</v>
      </c>
      <c r="O381" s="296">
        <v>2200102</v>
      </c>
      <c r="P381" s="296">
        <v>0</v>
      </c>
    </row>
    <row r="382" ht="20.1" customHeight="1" spans="1:16">
      <c r="A382" s="525" t="s">
        <v>770</v>
      </c>
      <c r="B382" s="526">
        <f>SUM(B383:B383)</f>
        <v>57000</v>
      </c>
      <c r="C382" s="527">
        <f>SUM(C383:C383)</f>
        <v>32000</v>
      </c>
      <c r="D382" s="528"/>
      <c r="E382" s="529"/>
      <c r="F382" s="530"/>
      <c r="K382" s="296" t="e">
        <f>VLOOKUP(G382,'[2]Sheet1 (2)'!$H:$I,2,0)</f>
        <v>#N/A</v>
      </c>
      <c r="L382" s="354" t="e">
        <f t="shared" si="43"/>
        <v>#N/A</v>
      </c>
      <c r="O382">
        <v>2200109</v>
      </c>
      <c r="P382">
        <v>0</v>
      </c>
    </row>
    <row r="383" ht="20.1" customHeight="1" spans="1:16">
      <c r="A383" s="531" t="s">
        <v>773</v>
      </c>
      <c r="B383" s="532">
        <v>57000</v>
      </c>
      <c r="C383" s="533">
        <v>32000</v>
      </c>
      <c r="D383" s="528"/>
      <c r="E383" s="532"/>
      <c r="F383" s="530"/>
      <c r="G383" s="296">
        <v>2150805</v>
      </c>
      <c r="H383" s="296" t="s">
        <v>773</v>
      </c>
      <c r="I383" s="354">
        <v>27000</v>
      </c>
      <c r="J383" s="296">
        <f>ROUND(I383,0)</f>
        <v>27000</v>
      </c>
      <c r="K383" s="296">
        <f>VLOOKUP(G383,'[2]Sheet1 (2)'!$H:$I,2,0)</f>
        <v>32000</v>
      </c>
      <c r="L383" s="354">
        <f t="shared" si="43"/>
        <v>0</v>
      </c>
      <c r="O383">
        <v>2200114</v>
      </c>
      <c r="P383">
        <v>0</v>
      </c>
    </row>
    <row r="384" ht="20.1" customHeight="1" spans="1:16">
      <c r="A384" s="525" t="s">
        <v>776</v>
      </c>
      <c r="B384" s="532"/>
      <c r="C384" s="533"/>
      <c r="D384" s="528"/>
      <c r="E384" s="527">
        <v>3600</v>
      </c>
      <c r="F384" s="530"/>
      <c r="L384" s="354"/>
      <c r="O384"/>
      <c r="P384"/>
    </row>
    <row r="385" ht="20.1" customHeight="1" spans="1:16">
      <c r="A385" s="531" t="s">
        <v>777</v>
      </c>
      <c r="B385" s="532"/>
      <c r="C385" s="533"/>
      <c r="D385" s="528"/>
      <c r="E385" s="533">
        <v>3600</v>
      </c>
      <c r="F385" s="530"/>
      <c r="L385" s="354"/>
      <c r="O385"/>
      <c r="P385"/>
    </row>
    <row r="386" ht="20.1" customHeight="1" spans="1:16">
      <c r="A386" s="521" t="s">
        <v>779</v>
      </c>
      <c r="B386" s="499">
        <f>B387+B390</f>
        <v>2027</v>
      </c>
      <c r="C386" s="522">
        <f>C387+C390</f>
        <v>1431</v>
      </c>
      <c r="D386" s="523">
        <f>ROUND((C386/B386-1)*100,2)</f>
        <v>-29.4</v>
      </c>
      <c r="E386" s="539">
        <f>E389</f>
        <v>142</v>
      </c>
      <c r="F386" s="541"/>
      <c r="K386" s="296" t="e">
        <f>VLOOKUP(G386,'[2]Sheet1 (2)'!$H:$I,2,0)</f>
        <v>#N/A</v>
      </c>
      <c r="L386" s="354" t="e">
        <f t="shared" si="43"/>
        <v>#N/A</v>
      </c>
      <c r="O386" s="296">
        <v>2200120</v>
      </c>
      <c r="P386" s="296">
        <v>0</v>
      </c>
    </row>
    <row r="387" s="313" customFormat="1" ht="20.1" customHeight="1" spans="1:17">
      <c r="A387" s="525" t="s">
        <v>781</v>
      </c>
      <c r="B387" s="526">
        <f>SUM(B388:B389)</f>
        <v>674</v>
      </c>
      <c r="C387" s="527">
        <f>SUM(C388:C389)</f>
        <v>538</v>
      </c>
      <c r="D387" s="528"/>
      <c r="E387" s="529">
        <v>142</v>
      </c>
      <c r="F387" s="530"/>
      <c r="G387" s="296"/>
      <c r="H387" s="296"/>
      <c r="I387" s="354"/>
      <c r="J387" s="296"/>
      <c r="K387" s="296" t="e">
        <f>VLOOKUP(G387,'[2]Sheet1 (2)'!$H:$I,2,0)</f>
        <v>#N/A</v>
      </c>
      <c r="L387" s="354" t="e">
        <f t="shared" si="43"/>
        <v>#N/A</v>
      </c>
      <c r="M387" s="296"/>
      <c r="N387" s="296"/>
      <c r="O387" s="296">
        <v>2200199</v>
      </c>
      <c r="P387" s="296">
        <v>0</v>
      </c>
      <c r="Q387" s="296"/>
    </row>
    <row r="388" ht="20.1" customHeight="1" spans="1:16">
      <c r="A388" s="531" t="s">
        <v>101</v>
      </c>
      <c r="B388" s="532">
        <v>254</v>
      </c>
      <c r="C388" s="533">
        <v>244</v>
      </c>
      <c r="D388" s="528"/>
      <c r="E388" s="529"/>
      <c r="F388" s="530"/>
      <c r="G388" s="296">
        <v>2160250</v>
      </c>
      <c r="H388" s="296" t="s">
        <v>101</v>
      </c>
      <c r="I388" s="354">
        <v>243.67</v>
      </c>
      <c r="J388" s="296">
        <f>ROUND(I388,0)</f>
        <v>244</v>
      </c>
      <c r="K388" s="296">
        <f>VLOOKUP(G388,'[2]Sheet1 (2)'!$H:$I,2,0)</f>
        <v>243.67</v>
      </c>
      <c r="L388" s="354">
        <f t="shared" si="43"/>
        <v>0.330000000000013</v>
      </c>
      <c r="O388" s="296">
        <v>2200501</v>
      </c>
      <c r="P388" s="296">
        <v>0</v>
      </c>
    </row>
    <row r="389" ht="20.1" customHeight="1" spans="1:16">
      <c r="A389" s="531" t="s">
        <v>784</v>
      </c>
      <c r="B389" s="532">
        <v>420</v>
      </c>
      <c r="C389" s="533">
        <v>294</v>
      </c>
      <c r="D389" s="528"/>
      <c r="E389" s="533">
        <v>142</v>
      </c>
      <c r="F389" s="530"/>
      <c r="G389" s="296">
        <v>2160299</v>
      </c>
      <c r="H389" s="296" t="s">
        <v>784</v>
      </c>
      <c r="I389" s="354">
        <v>294</v>
      </c>
      <c r="J389" s="296">
        <f>ROUND(I389,0)</f>
        <v>294</v>
      </c>
      <c r="K389" s="296">
        <f>VLOOKUP(G389,'[2]Sheet1 (2)'!$H:$I,2,0)</f>
        <v>294</v>
      </c>
      <c r="L389" s="354">
        <f t="shared" si="43"/>
        <v>0</v>
      </c>
      <c r="O389" s="296">
        <v>2200504</v>
      </c>
      <c r="P389" s="296">
        <v>0</v>
      </c>
    </row>
    <row r="390" ht="20.1" customHeight="1" spans="1:16">
      <c r="A390" s="525" t="s">
        <v>786</v>
      </c>
      <c r="B390" s="526">
        <f>SUM(B391:B392)</f>
        <v>1353</v>
      </c>
      <c r="C390" s="527">
        <f>SUM(C391:C392)</f>
        <v>893</v>
      </c>
      <c r="D390" s="528"/>
      <c r="E390" s="529"/>
      <c r="F390" s="530"/>
      <c r="K390" s="296" t="e">
        <f>VLOOKUP(G390,'[2]Sheet1 (2)'!$H:$I,2,0)</f>
        <v>#N/A</v>
      </c>
      <c r="L390" s="354" t="e">
        <f t="shared" si="43"/>
        <v>#N/A</v>
      </c>
      <c r="O390" s="296">
        <v>2200506</v>
      </c>
      <c r="P390" s="296">
        <v>0</v>
      </c>
    </row>
    <row r="391" ht="20.1" customHeight="1" spans="1:16">
      <c r="A391" s="531" t="s">
        <v>91</v>
      </c>
      <c r="B391" s="532">
        <v>312</v>
      </c>
      <c r="C391" s="533">
        <v>287</v>
      </c>
      <c r="D391" s="528"/>
      <c r="E391" s="534"/>
      <c r="F391" s="530"/>
      <c r="G391" s="296">
        <v>2160601</v>
      </c>
      <c r="H391" s="296" t="s">
        <v>91</v>
      </c>
      <c r="I391" s="354">
        <v>287.31</v>
      </c>
      <c r="J391" s="296">
        <f>ROUND(I391,0)</f>
        <v>287</v>
      </c>
      <c r="K391" s="296">
        <f>VLOOKUP(G391,'[2]Sheet1 (2)'!$H:$I,2,0)</f>
        <v>287.31</v>
      </c>
      <c r="L391" s="354">
        <f t="shared" si="43"/>
        <v>-0.310000000000002</v>
      </c>
      <c r="O391" s="502">
        <v>2200508</v>
      </c>
      <c r="P391" s="502">
        <v>0</v>
      </c>
    </row>
    <row r="392" ht="20.1" customHeight="1" spans="1:16">
      <c r="A392" s="531" t="s">
        <v>93</v>
      </c>
      <c r="B392" s="532">
        <v>1041</v>
      </c>
      <c r="C392" s="533">
        <v>606</v>
      </c>
      <c r="D392" s="528"/>
      <c r="E392" s="534"/>
      <c r="F392" s="530"/>
      <c r="G392" s="296">
        <v>2160602</v>
      </c>
      <c r="H392" s="296" t="s">
        <v>93</v>
      </c>
      <c r="I392" s="354">
        <v>606.598</v>
      </c>
      <c r="J392" s="296">
        <f>ROUND(I392,0)</f>
        <v>607</v>
      </c>
      <c r="K392" s="296">
        <f>VLOOKUP(G392,'[2]Sheet1 (2)'!$H:$I,2,0)</f>
        <v>606.598</v>
      </c>
      <c r="L392" s="354">
        <f t="shared" si="43"/>
        <v>-0.597999999999956</v>
      </c>
      <c r="M392" s="313"/>
      <c r="N392" s="313"/>
      <c r="O392" s="296">
        <v>2200509</v>
      </c>
      <c r="P392" s="296">
        <v>0</v>
      </c>
    </row>
    <row r="393" ht="20.1" customHeight="1" spans="1:16">
      <c r="A393" s="521" t="s">
        <v>791</v>
      </c>
      <c r="B393" s="532"/>
      <c r="C393" s="522">
        <f>C394</f>
        <v>30</v>
      </c>
      <c r="D393" s="528"/>
      <c r="E393" s="534"/>
      <c r="F393" s="497" t="s">
        <v>995</v>
      </c>
      <c r="L393" s="354"/>
      <c r="M393" s="313"/>
      <c r="N393" s="313"/>
      <c r="O393" s="296">
        <v>2200510</v>
      </c>
      <c r="P393" s="296">
        <v>0</v>
      </c>
    </row>
    <row r="394" ht="20.1" customHeight="1" spans="1:16">
      <c r="A394" s="525" t="s">
        <v>792</v>
      </c>
      <c r="B394" s="532"/>
      <c r="C394" s="527">
        <f>SUM(C395:C395)</f>
        <v>30</v>
      </c>
      <c r="D394" s="528"/>
      <c r="E394" s="534"/>
      <c r="F394" s="530"/>
      <c r="L394" s="354"/>
      <c r="M394" s="313"/>
      <c r="N394" s="313"/>
      <c r="O394" s="296">
        <v>2210105</v>
      </c>
      <c r="P394" s="296">
        <v>0</v>
      </c>
    </row>
    <row r="395" ht="20.1" customHeight="1" spans="1:16">
      <c r="A395" s="531" t="s">
        <v>793</v>
      </c>
      <c r="B395" s="532"/>
      <c r="C395" s="533">
        <v>30</v>
      </c>
      <c r="D395" s="528"/>
      <c r="E395" s="534"/>
      <c r="F395" s="530"/>
      <c r="L395" s="354"/>
      <c r="M395" s="313"/>
      <c r="N395" s="313"/>
      <c r="O395" s="296">
        <v>2220115</v>
      </c>
      <c r="P395" s="296">
        <v>0</v>
      </c>
    </row>
    <row r="396" ht="20.1" customHeight="1" spans="1:16">
      <c r="A396" s="521" t="s">
        <v>795</v>
      </c>
      <c r="B396" s="499">
        <f>B397+B405</f>
        <v>7416</v>
      </c>
      <c r="C396" s="522">
        <f>C397+C405</f>
        <v>6212</v>
      </c>
      <c r="D396" s="523">
        <f>ROUND((C396/B396-1)*100,2)</f>
        <v>-16.24</v>
      </c>
      <c r="E396" s="539">
        <f>E397+E405</f>
        <v>0</v>
      </c>
      <c r="F396" s="541"/>
      <c r="K396" s="296" t="e">
        <f>VLOOKUP(G396,'[2]Sheet1 (2)'!$H:$I,2,0)</f>
        <v>#N/A</v>
      </c>
      <c r="L396" s="354" t="e">
        <f t="shared" si="43"/>
        <v>#N/A</v>
      </c>
      <c r="O396" s="296">
        <v>2239999</v>
      </c>
      <c r="P396" s="296">
        <v>0</v>
      </c>
    </row>
    <row r="397" ht="20.1" customHeight="1" spans="1:17">
      <c r="A397" s="525" t="s">
        <v>796</v>
      </c>
      <c r="B397" s="526">
        <f>SUM(B398:B404)</f>
        <v>7028</v>
      </c>
      <c r="C397" s="527">
        <f>SUM(C398:C404)</f>
        <v>5740</v>
      </c>
      <c r="D397" s="528"/>
      <c r="E397" s="529"/>
      <c r="F397" s="530"/>
      <c r="K397" s="296" t="e">
        <f>VLOOKUP(G397,'[2]Sheet1 (2)'!$H:$I,2,0)</f>
        <v>#N/A</v>
      </c>
      <c r="L397" s="354" t="e">
        <f t="shared" si="43"/>
        <v>#N/A</v>
      </c>
      <c r="O397" s="296">
        <v>2240101</v>
      </c>
      <c r="P397" s="296">
        <v>0</v>
      </c>
      <c r="Q397" s="313"/>
    </row>
    <row r="398" ht="20.1" customHeight="1" spans="1:16">
      <c r="A398" s="531" t="s">
        <v>91</v>
      </c>
      <c r="B398" s="532">
        <v>2283</v>
      </c>
      <c r="C398" s="533">
        <v>2534</v>
      </c>
      <c r="D398" s="528"/>
      <c r="E398" s="534"/>
      <c r="F398" s="530"/>
      <c r="G398" s="296">
        <v>2200101</v>
      </c>
      <c r="H398" s="296" t="s">
        <v>91</v>
      </c>
      <c r="I398" s="354">
        <v>2534.3</v>
      </c>
      <c r="J398" s="296">
        <f>ROUND(I398,0)</f>
        <v>2534</v>
      </c>
      <c r="K398" s="296">
        <f>VLOOKUP(G398,'[2]Sheet1 (2)'!$H:$I,2,0)</f>
        <v>2534.3</v>
      </c>
      <c r="L398" s="354">
        <f t="shared" si="43"/>
        <v>-0.300000000000182</v>
      </c>
      <c r="O398" s="296">
        <v>2240102</v>
      </c>
      <c r="P398" s="296">
        <v>0</v>
      </c>
    </row>
    <row r="399" ht="20.1" customHeight="1" spans="1:16">
      <c r="A399" s="531" t="s">
        <v>93</v>
      </c>
      <c r="B399" s="532">
        <v>110</v>
      </c>
      <c r="C399" s="533">
        <v>1354</v>
      </c>
      <c r="D399" s="528"/>
      <c r="E399" s="534"/>
      <c r="F399" s="530"/>
      <c r="G399" s="296">
        <v>2200102</v>
      </c>
      <c r="H399" s="296" t="s">
        <v>93</v>
      </c>
      <c r="I399" s="354">
        <v>1353.56</v>
      </c>
      <c r="J399" s="296">
        <f>ROUND(I399,0)</f>
        <v>1354</v>
      </c>
      <c r="K399" s="296">
        <f>VLOOKUP(G399,'[2]Sheet1 (2)'!$H:$I,2,0)</f>
        <v>1353.56</v>
      </c>
      <c r="L399" s="354">
        <f t="shared" si="43"/>
        <v>0.440000000000055</v>
      </c>
      <c r="O399" s="296">
        <v>2240106</v>
      </c>
      <c r="P399" s="296">
        <v>0</v>
      </c>
    </row>
    <row r="400" ht="20.1" customHeight="1" spans="1:16">
      <c r="A400" s="531" t="s">
        <v>802</v>
      </c>
      <c r="B400" s="532">
        <v>250</v>
      </c>
      <c r="C400" s="533">
        <v>300</v>
      </c>
      <c r="D400" s="528"/>
      <c r="E400" s="534"/>
      <c r="F400" s="530"/>
      <c r="K400" s="296" t="e">
        <f>VLOOKUP(G400,'[2]Sheet1 (2)'!$H:$I,2,0)</f>
        <v>#N/A</v>
      </c>
      <c r="L400" s="354" t="e">
        <f>#REF!-K400</f>
        <v>#REF!</v>
      </c>
      <c r="O400" s="296">
        <v>2240108</v>
      </c>
      <c r="P400" s="296">
        <v>0</v>
      </c>
    </row>
    <row r="401" ht="20.1" customHeight="1" spans="1:16">
      <c r="A401" s="531" t="s">
        <v>804</v>
      </c>
      <c r="B401" s="532">
        <v>40</v>
      </c>
      <c r="C401" s="533">
        <v>40</v>
      </c>
      <c r="D401" s="528"/>
      <c r="E401" s="534"/>
      <c r="F401" s="530"/>
      <c r="G401" s="296">
        <v>2200109</v>
      </c>
      <c r="H401" s="296" t="s">
        <v>802</v>
      </c>
      <c r="I401" s="354">
        <v>300</v>
      </c>
      <c r="J401" s="296">
        <f>ROUND(I401,0)</f>
        <v>300</v>
      </c>
      <c r="K401" s="296">
        <f>VLOOKUP(G401,'[2]Sheet1 (2)'!$H:$I,2,0)</f>
        <v>300</v>
      </c>
      <c r="L401" s="354">
        <f t="shared" ref="L401:L436" si="45">C400-K401</f>
        <v>0</v>
      </c>
      <c r="O401">
        <v>2240150</v>
      </c>
      <c r="P401">
        <v>0</v>
      </c>
    </row>
    <row r="402" ht="20.1" customHeight="1" spans="1:16">
      <c r="A402" s="531" t="s">
        <v>806</v>
      </c>
      <c r="B402" s="532">
        <v>35</v>
      </c>
      <c r="C402" s="533">
        <v>35</v>
      </c>
      <c r="D402" s="528"/>
      <c r="E402" s="534"/>
      <c r="F402" s="530"/>
      <c r="G402" s="296">
        <v>2200114</v>
      </c>
      <c r="H402" s="296" t="s">
        <v>804</v>
      </c>
      <c r="I402" s="354">
        <v>40</v>
      </c>
      <c r="J402" s="296">
        <f>ROUND(I402,0)</f>
        <v>40</v>
      </c>
      <c r="K402" s="296">
        <f>VLOOKUP(G402,'[2]Sheet1 (2)'!$H:$I,2,0)</f>
        <v>40</v>
      </c>
      <c r="L402" s="354">
        <f t="shared" si="45"/>
        <v>0</v>
      </c>
      <c r="O402">
        <v>2240204</v>
      </c>
      <c r="P402">
        <v>0</v>
      </c>
    </row>
    <row r="403" ht="20.1" customHeight="1" spans="1:16">
      <c r="A403" s="531" t="s">
        <v>808</v>
      </c>
      <c r="B403" s="532">
        <v>180</v>
      </c>
      <c r="C403" s="533"/>
      <c r="D403" s="528"/>
      <c r="E403" s="534"/>
      <c r="F403" s="530"/>
      <c r="G403" s="296">
        <v>2200120</v>
      </c>
      <c r="H403" s="296" t="s">
        <v>806</v>
      </c>
      <c r="I403" s="354">
        <v>34.5</v>
      </c>
      <c r="J403" s="296">
        <f>ROUND(I403,0)</f>
        <v>35</v>
      </c>
      <c r="K403" s="296">
        <f>VLOOKUP(G403,'[2]Sheet1 (2)'!$H:$I,2,0)</f>
        <v>34.5</v>
      </c>
      <c r="L403" s="354">
        <f t="shared" si="45"/>
        <v>0.5</v>
      </c>
      <c r="O403" s="296">
        <v>2240602</v>
      </c>
      <c r="P403" s="296">
        <v>0</v>
      </c>
    </row>
    <row r="404" ht="30.75" customHeight="1" spans="1:16">
      <c r="A404" s="531" t="s">
        <v>812</v>
      </c>
      <c r="B404" s="532">
        <v>4130</v>
      </c>
      <c r="C404" s="533">
        <v>1477</v>
      </c>
      <c r="D404" s="528"/>
      <c r="E404" s="534"/>
      <c r="F404" s="530"/>
      <c r="K404" s="296" t="e">
        <f>VLOOKUP(G404,'[2]Sheet1 (2)'!$H:$I,2,0)</f>
        <v>#N/A</v>
      </c>
      <c r="L404" s="354" t="e">
        <f t="shared" si="45"/>
        <v>#N/A</v>
      </c>
      <c r="O404" s="296">
        <v>2290201</v>
      </c>
      <c r="P404" s="296">
        <v>0</v>
      </c>
    </row>
    <row r="405" ht="20.1" customHeight="1" spans="1:16">
      <c r="A405" s="525" t="s">
        <v>814</v>
      </c>
      <c r="B405" s="526">
        <f>SUM(B406:B411)</f>
        <v>388</v>
      </c>
      <c r="C405" s="527">
        <f>SUM(C406:C411)</f>
        <v>472</v>
      </c>
      <c r="D405" s="528"/>
      <c r="E405" s="529"/>
      <c r="F405" s="530"/>
      <c r="G405" s="296">
        <v>2200199</v>
      </c>
      <c r="H405" s="296" t="s">
        <v>812</v>
      </c>
      <c r="I405" s="354">
        <v>1478.02</v>
      </c>
      <c r="J405" s="296">
        <f>ROUND(I405,0)</f>
        <v>1478</v>
      </c>
      <c r="K405" s="296">
        <f>VLOOKUP(G405,'[2]Sheet1 (2)'!$H:$I,2,0)</f>
        <v>1478.02</v>
      </c>
      <c r="L405" s="354">
        <f t="shared" si="45"/>
        <v>-1.01999999999998</v>
      </c>
      <c r="O405" s="296">
        <v>2296002</v>
      </c>
      <c r="P405" s="296">
        <v>0</v>
      </c>
    </row>
    <row r="406" ht="20.1" customHeight="1" spans="1:16">
      <c r="A406" s="531" t="s">
        <v>91</v>
      </c>
      <c r="B406" s="532">
        <v>51</v>
      </c>
      <c r="C406" s="533">
        <v>39</v>
      </c>
      <c r="D406" s="528"/>
      <c r="E406" s="529"/>
      <c r="F406" s="530"/>
      <c r="K406" s="296" t="e">
        <f>VLOOKUP(G406,'[2]Sheet1 (2)'!$H:$I,2,0)</f>
        <v>#N/A</v>
      </c>
      <c r="L406" s="354" t="e">
        <f t="shared" si="45"/>
        <v>#N/A</v>
      </c>
      <c r="O406" s="296">
        <v>2296003</v>
      </c>
      <c r="P406" s="296">
        <v>0</v>
      </c>
    </row>
    <row r="407" ht="20.1" customHeight="1" spans="1:16">
      <c r="A407" s="531" t="s">
        <v>817</v>
      </c>
      <c r="B407" s="532">
        <v>59</v>
      </c>
      <c r="C407" s="533">
        <v>57</v>
      </c>
      <c r="D407" s="528"/>
      <c r="E407" s="534"/>
      <c r="F407" s="530"/>
      <c r="G407" s="296">
        <v>2200501</v>
      </c>
      <c r="H407" s="296" t="s">
        <v>91</v>
      </c>
      <c r="I407" s="354">
        <v>38.82</v>
      </c>
      <c r="J407" s="296">
        <f t="shared" ref="J407:J412" si="46">ROUND(I407,0)</f>
        <v>39</v>
      </c>
      <c r="K407" s="296">
        <f>VLOOKUP(G407,'[2]Sheet1 (2)'!$H:$I,2,0)</f>
        <v>38.82</v>
      </c>
      <c r="L407" s="354">
        <f t="shared" si="45"/>
        <v>0.18</v>
      </c>
      <c r="O407" s="296">
        <v>2296006</v>
      </c>
      <c r="P407" s="296">
        <v>0</v>
      </c>
    </row>
    <row r="408" ht="26.25" customHeight="1" spans="1:16">
      <c r="A408" s="531" t="s">
        <v>819</v>
      </c>
      <c r="B408" s="532">
        <v>142</v>
      </c>
      <c r="C408" s="533">
        <v>142</v>
      </c>
      <c r="D408" s="528"/>
      <c r="E408" s="534"/>
      <c r="F408" s="530"/>
      <c r="G408" s="296">
        <v>2200504</v>
      </c>
      <c r="H408" s="296" t="s">
        <v>817</v>
      </c>
      <c r="I408" s="354">
        <v>56.79</v>
      </c>
      <c r="J408" s="296">
        <f t="shared" si="46"/>
        <v>57</v>
      </c>
      <c r="K408" s="296">
        <f>VLOOKUP(G408,'[2]Sheet1 (2)'!$H:$I,2,0)</f>
        <v>56.79</v>
      </c>
      <c r="L408" s="354">
        <f t="shared" si="45"/>
        <v>0.210000000000001</v>
      </c>
      <c r="O408" s="296">
        <v>2302101</v>
      </c>
      <c r="P408" s="296">
        <v>0</v>
      </c>
    </row>
    <row r="409" ht="20.1" customHeight="1" spans="1:16">
      <c r="A409" s="531" t="s">
        <v>821</v>
      </c>
      <c r="B409" s="532">
        <v>30</v>
      </c>
      <c r="C409" s="533">
        <v>157</v>
      </c>
      <c r="D409" s="528"/>
      <c r="E409" s="534"/>
      <c r="F409" s="530"/>
      <c r="G409" s="296">
        <v>2200506</v>
      </c>
      <c r="H409" s="296" t="s">
        <v>819</v>
      </c>
      <c r="I409" s="354">
        <v>141.8</v>
      </c>
      <c r="J409" s="296">
        <f t="shared" si="46"/>
        <v>142</v>
      </c>
      <c r="K409" s="296">
        <f>VLOOKUP(G409,'[2]Sheet1 (2)'!$H:$I,2,0)</f>
        <v>141.8</v>
      </c>
      <c r="L409" s="354">
        <f t="shared" si="45"/>
        <v>0.199999999999989</v>
      </c>
      <c r="O409" s="296">
        <v>2310301</v>
      </c>
      <c r="P409" s="296">
        <v>0</v>
      </c>
    </row>
    <row r="410" ht="20.1" customHeight="1" spans="1:16">
      <c r="A410" s="531" t="s">
        <v>823</v>
      </c>
      <c r="B410" s="532">
        <v>9</v>
      </c>
      <c r="C410" s="533">
        <v>9</v>
      </c>
      <c r="D410" s="528"/>
      <c r="E410" s="534"/>
      <c r="F410" s="530"/>
      <c r="G410" s="296">
        <v>2200508</v>
      </c>
      <c r="H410" s="296" t="s">
        <v>821</v>
      </c>
      <c r="I410" s="354">
        <v>157</v>
      </c>
      <c r="J410" s="296">
        <f t="shared" si="46"/>
        <v>157</v>
      </c>
      <c r="K410" s="296">
        <f>VLOOKUP(G410,'[2]Sheet1 (2)'!$H:$I,2,0)</f>
        <v>157</v>
      </c>
      <c r="L410" s="354">
        <f t="shared" si="45"/>
        <v>0</v>
      </c>
      <c r="O410" s="296">
        <v>2310499</v>
      </c>
      <c r="P410" s="296">
        <v>0</v>
      </c>
    </row>
    <row r="411" ht="20.1" customHeight="1" spans="1:16">
      <c r="A411" s="531" t="s">
        <v>825</v>
      </c>
      <c r="B411" s="532">
        <v>97</v>
      </c>
      <c r="C411" s="533">
        <v>68</v>
      </c>
      <c r="D411" s="528"/>
      <c r="E411" s="534"/>
      <c r="F411" s="530"/>
      <c r="G411" s="296">
        <v>2200509</v>
      </c>
      <c r="H411" s="296" t="s">
        <v>823</v>
      </c>
      <c r="I411" s="354">
        <v>9</v>
      </c>
      <c r="J411" s="296">
        <f t="shared" si="46"/>
        <v>9</v>
      </c>
      <c r="K411" s="296">
        <f>VLOOKUP(G411,'[2]Sheet1 (2)'!$H:$I,2,0)</f>
        <v>9</v>
      </c>
      <c r="L411" s="354">
        <f t="shared" si="45"/>
        <v>0</v>
      </c>
      <c r="O411" s="296">
        <v>2320301</v>
      </c>
      <c r="P411" s="296">
        <v>0</v>
      </c>
    </row>
    <row r="412" ht="26" spans="1:16">
      <c r="A412" s="521" t="s">
        <v>827</v>
      </c>
      <c r="B412" s="499">
        <f>B413</f>
        <v>86</v>
      </c>
      <c r="C412" s="522">
        <f>C413</f>
        <v>72</v>
      </c>
      <c r="D412" s="523">
        <f>ROUND((C412/B412-1)*100,2)</f>
        <v>-16.28</v>
      </c>
      <c r="E412" s="558"/>
      <c r="F412" s="497" t="s">
        <v>996</v>
      </c>
      <c r="G412" s="296">
        <v>2200510</v>
      </c>
      <c r="H412" s="296" t="s">
        <v>825</v>
      </c>
      <c r="I412" s="354">
        <v>68</v>
      </c>
      <c r="J412" s="296">
        <f t="shared" si="46"/>
        <v>68</v>
      </c>
      <c r="K412" s="296">
        <f>VLOOKUP(G412,'[2]Sheet1 (2)'!$H:$I,2,0)</f>
        <v>68</v>
      </c>
      <c r="L412" s="354">
        <f t="shared" si="45"/>
        <v>0</v>
      </c>
      <c r="O412" s="296">
        <v>2320499</v>
      </c>
      <c r="P412" s="296">
        <v>0</v>
      </c>
    </row>
    <row r="413" ht="15" spans="1:16">
      <c r="A413" s="525" t="s">
        <v>829</v>
      </c>
      <c r="B413" s="526">
        <f>B414+B415</f>
        <v>86</v>
      </c>
      <c r="C413" s="527">
        <f>C414+C415</f>
        <v>72</v>
      </c>
      <c r="D413" s="528"/>
      <c r="E413" s="534"/>
      <c r="F413" s="530"/>
      <c r="K413" s="296" t="e">
        <f>VLOOKUP(G413,'[2]Sheet1 (2)'!$H:$I,2,0)</f>
        <v>#N/A</v>
      </c>
      <c r="L413" s="354" t="e">
        <f t="shared" si="45"/>
        <v>#N/A</v>
      </c>
      <c r="O413" s="296">
        <v>2330301</v>
      </c>
      <c r="P413" s="296">
        <v>0</v>
      </c>
    </row>
    <row r="414" ht="20.1" customHeight="1" spans="1:16">
      <c r="A414" s="531" t="s">
        <v>830</v>
      </c>
      <c r="B414" s="532">
        <v>66</v>
      </c>
      <c r="C414" s="533">
        <v>72</v>
      </c>
      <c r="D414" s="528"/>
      <c r="E414" s="534"/>
      <c r="F414" s="530"/>
      <c r="K414" s="296" t="e">
        <f>VLOOKUP(G414,'[2]Sheet1 (2)'!$H:$I,2,0)</f>
        <v>#N/A</v>
      </c>
      <c r="L414" s="354" t="e">
        <f t="shared" si="45"/>
        <v>#N/A</v>
      </c>
      <c r="O414" s="296">
        <v>2330499</v>
      </c>
      <c r="P414" s="296">
        <v>0</v>
      </c>
    </row>
    <row r="415" ht="20.1" customHeight="1" spans="1:12">
      <c r="A415" s="531" t="s">
        <v>834</v>
      </c>
      <c r="B415" s="532">
        <v>20</v>
      </c>
      <c r="C415" s="533"/>
      <c r="D415" s="528"/>
      <c r="E415" s="534"/>
      <c r="F415" s="530"/>
      <c r="G415" s="296">
        <v>2210105</v>
      </c>
      <c r="H415" s="296" t="s">
        <v>830</v>
      </c>
      <c r="I415" s="354">
        <v>72</v>
      </c>
      <c r="J415" s="296">
        <f>ROUND(I415,0)</f>
        <v>72</v>
      </c>
      <c r="K415" s="296">
        <f>VLOOKUP(G415,'[2]Sheet1 (2)'!$H:$I,2,0)</f>
        <v>72</v>
      </c>
      <c r="L415" s="354">
        <f t="shared" si="45"/>
        <v>0</v>
      </c>
    </row>
    <row r="416" ht="31.5" customHeight="1" spans="1:12">
      <c r="A416" s="521" t="s">
        <v>838</v>
      </c>
      <c r="B416" s="499">
        <f>B417</f>
        <v>1500</v>
      </c>
      <c r="C416" s="522">
        <f>C417</f>
        <v>1500</v>
      </c>
      <c r="D416" s="523">
        <f>ROUND((C416/B416-1)*100,2)</f>
        <v>0</v>
      </c>
      <c r="E416" s="539"/>
      <c r="F416" s="524"/>
      <c r="K416" s="296" t="e">
        <f>VLOOKUP(G416,'[2]Sheet1 (2)'!$H:$I,2,0)</f>
        <v>#N/A</v>
      </c>
      <c r="L416" s="354" t="e">
        <f t="shared" si="45"/>
        <v>#N/A</v>
      </c>
    </row>
    <row r="417" ht="20.1" customHeight="1" spans="1:12">
      <c r="A417" s="525" t="s">
        <v>997</v>
      </c>
      <c r="B417" s="526">
        <f>SUM(B418:B418)</f>
        <v>1500</v>
      </c>
      <c r="C417" s="527">
        <f>SUM(C418:C418)</f>
        <v>1500</v>
      </c>
      <c r="D417" s="523"/>
      <c r="E417" s="529"/>
      <c r="F417" s="530"/>
      <c r="K417" s="296" t="e">
        <f>VLOOKUP(G417,'[2]Sheet1 (2)'!$H:$I,2,0)</f>
        <v>#N/A</v>
      </c>
      <c r="L417" s="354" t="e">
        <f t="shared" si="45"/>
        <v>#N/A</v>
      </c>
    </row>
    <row r="418" ht="23.1" customHeight="1" spans="1:12">
      <c r="A418" s="531" t="s">
        <v>841</v>
      </c>
      <c r="B418" s="532">
        <v>1500</v>
      </c>
      <c r="C418" s="533">
        <v>1500</v>
      </c>
      <c r="D418" s="523"/>
      <c r="E418" s="534"/>
      <c r="F418" s="530"/>
      <c r="K418" s="296" t="e">
        <f>VLOOKUP(G418,'[2]Sheet1 (2)'!$H:$I,2,0)</f>
        <v>#N/A</v>
      </c>
      <c r="L418" s="354" t="e">
        <f t="shared" si="45"/>
        <v>#N/A</v>
      </c>
    </row>
    <row r="419" ht="26" spans="1:12">
      <c r="A419" s="521" t="s">
        <v>846</v>
      </c>
      <c r="B419" s="499">
        <f>B420+B427+B429</f>
        <v>4103</v>
      </c>
      <c r="C419" s="522">
        <f>C420+C427+C429</f>
        <v>5446</v>
      </c>
      <c r="D419" s="523">
        <f t="shared" ref="D419" si="47">ROUND((C419/B419-1)*100,2)</f>
        <v>32.73</v>
      </c>
      <c r="E419" s="539"/>
      <c r="F419" s="497" t="s">
        <v>998</v>
      </c>
      <c r="G419" s="296">
        <v>2220115</v>
      </c>
      <c r="H419" s="296" t="s">
        <v>841</v>
      </c>
      <c r="I419" s="354">
        <v>1500</v>
      </c>
      <c r="J419" s="296">
        <f>ROUND(I419,0)</f>
        <v>1500</v>
      </c>
      <c r="K419" s="296">
        <f>VLOOKUP(G419,'[2]Sheet1 (2)'!$H:$I,2,0)</f>
        <v>1500</v>
      </c>
      <c r="L419" s="354">
        <f t="shared" si="45"/>
        <v>0</v>
      </c>
    </row>
    <row r="420" ht="15" spans="1:12">
      <c r="A420" s="525" t="s">
        <v>848</v>
      </c>
      <c r="B420" s="526">
        <f>SUM(B421:B426)</f>
        <v>1906</v>
      </c>
      <c r="C420" s="527">
        <f>SUM(C421:C426)</f>
        <v>2152</v>
      </c>
      <c r="D420" s="528"/>
      <c r="E420" s="529"/>
      <c r="F420" s="530"/>
      <c r="K420" s="296" t="e">
        <f>VLOOKUP(G420,'[2]Sheet1 (2)'!$H:$I,2,0)</f>
        <v>#N/A</v>
      </c>
      <c r="L420" s="354" t="e">
        <f t="shared" si="45"/>
        <v>#N/A</v>
      </c>
    </row>
    <row r="421" ht="23.1" customHeight="1" spans="1:12">
      <c r="A421" s="531" t="s">
        <v>91</v>
      </c>
      <c r="B421" s="532">
        <v>772</v>
      </c>
      <c r="C421" s="533">
        <v>829</v>
      </c>
      <c r="D421" s="528"/>
      <c r="E421" s="534"/>
      <c r="F421" s="530"/>
      <c r="K421" s="296" t="e">
        <f>VLOOKUP(G421,'[2]Sheet1 (2)'!$H:$I,2,0)</f>
        <v>#N/A</v>
      </c>
      <c r="L421" s="354" t="e">
        <f t="shared" si="45"/>
        <v>#N/A</v>
      </c>
    </row>
    <row r="422" ht="23.1" customHeight="1" spans="1:12">
      <c r="A422" s="531" t="s">
        <v>93</v>
      </c>
      <c r="B422" s="532"/>
      <c r="C422" s="533">
        <v>22</v>
      </c>
      <c r="D422" s="528"/>
      <c r="E422" s="534"/>
      <c r="F422" s="530"/>
      <c r="G422" s="296">
        <v>2240101</v>
      </c>
      <c r="H422" s="296" t="s">
        <v>91</v>
      </c>
      <c r="I422" s="354">
        <v>829.38</v>
      </c>
      <c r="J422" s="296">
        <f>ROUND(I422,0)</f>
        <v>829</v>
      </c>
      <c r="K422" s="296">
        <f>VLOOKUP(G422,'[2]Sheet1 (2)'!$H:$I,2,0)</f>
        <v>829.38</v>
      </c>
      <c r="L422" s="354">
        <f t="shared" si="45"/>
        <v>-0.379999999999995</v>
      </c>
    </row>
    <row r="423" ht="23.1" customHeight="1" spans="1:12">
      <c r="A423" s="531" t="s">
        <v>851</v>
      </c>
      <c r="B423" s="532">
        <v>133</v>
      </c>
      <c r="C423" s="533">
        <v>70</v>
      </c>
      <c r="D423" s="528"/>
      <c r="E423" s="534"/>
      <c r="F423" s="530"/>
      <c r="G423" s="296">
        <v>2240102</v>
      </c>
      <c r="H423" s="296" t="s">
        <v>93</v>
      </c>
      <c r="I423" s="354">
        <v>21.99</v>
      </c>
      <c r="J423" s="296">
        <f>ROUND(I423,0)</f>
        <v>22</v>
      </c>
      <c r="K423" s="296">
        <f>VLOOKUP(G423,'[2]Sheet1 (2)'!$H:$I,2,0)</f>
        <v>21.99</v>
      </c>
      <c r="L423" s="354">
        <f t="shared" si="45"/>
        <v>0.0100000000000016</v>
      </c>
    </row>
    <row r="424" ht="23.1" customHeight="1" spans="1:12">
      <c r="A424" s="531" t="s">
        <v>853</v>
      </c>
      <c r="B424" s="532">
        <v>872</v>
      </c>
      <c r="C424" s="533">
        <v>1100</v>
      </c>
      <c r="D424" s="528"/>
      <c r="E424" s="534"/>
      <c r="F424" s="530"/>
      <c r="G424" s="296">
        <v>2240106</v>
      </c>
      <c r="H424" s="296" t="s">
        <v>851</v>
      </c>
      <c r="I424" s="354">
        <v>70</v>
      </c>
      <c r="J424" s="296">
        <f>ROUND(I424,0)</f>
        <v>70</v>
      </c>
      <c r="K424" s="296">
        <f>VLOOKUP(G424,'[2]Sheet1 (2)'!$H:$I,2,0)</f>
        <v>70</v>
      </c>
      <c r="L424" s="354">
        <f t="shared" si="45"/>
        <v>0</v>
      </c>
    </row>
    <row r="425" ht="23.1" customHeight="1" spans="1:12">
      <c r="A425" s="531" t="s">
        <v>855</v>
      </c>
      <c r="B425" s="532">
        <v>7</v>
      </c>
      <c r="C425" s="533"/>
      <c r="D425" s="528"/>
      <c r="E425" s="534"/>
      <c r="F425" s="530"/>
      <c r="G425" s="296">
        <v>2240108</v>
      </c>
      <c r="H425" s="296" t="s">
        <v>853</v>
      </c>
      <c r="I425" s="354">
        <v>1100.48</v>
      </c>
      <c r="J425" s="296">
        <f>ROUND(I425,0)</f>
        <v>1100</v>
      </c>
      <c r="K425" s="296">
        <f>VLOOKUP(G425,'[2]Sheet1 (2)'!$H:$I,2,0)</f>
        <v>1100.48</v>
      </c>
      <c r="L425" s="354">
        <f t="shared" si="45"/>
        <v>-0.480000000000018</v>
      </c>
    </row>
    <row r="426" ht="23.1" customHeight="1" spans="1:12">
      <c r="A426" s="531" t="s">
        <v>101</v>
      </c>
      <c r="B426" s="532">
        <v>122</v>
      </c>
      <c r="C426" s="533">
        <v>131</v>
      </c>
      <c r="D426" s="528"/>
      <c r="E426" s="534"/>
      <c r="F426" s="530"/>
      <c r="K426" s="296" t="e">
        <f>VLOOKUP(G426,'[2]Sheet1 (2)'!$H:$I,2,0)</f>
        <v>#N/A</v>
      </c>
      <c r="L426" s="354" t="e">
        <f t="shared" si="45"/>
        <v>#N/A</v>
      </c>
    </row>
    <row r="427" ht="21.95" customHeight="1" spans="1:12">
      <c r="A427" s="525" t="s">
        <v>999</v>
      </c>
      <c r="B427" s="526">
        <f>SUM(B428)</f>
        <v>2052</v>
      </c>
      <c r="C427" s="527">
        <f>SUM(C428)</f>
        <v>3077</v>
      </c>
      <c r="D427" s="528"/>
      <c r="E427" s="529"/>
      <c r="F427" s="530"/>
      <c r="G427" s="296">
        <v>2240150</v>
      </c>
      <c r="H427" s="296" t="s">
        <v>101</v>
      </c>
      <c r="I427" s="354">
        <v>131.17</v>
      </c>
      <c r="J427" s="296">
        <f>ROUND(I427,0)</f>
        <v>131</v>
      </c>
      <c r="K427" s="296">
        <f>VLOOKUP(G427,'[2]Sheet1 (2)'!$H:$I,2,0)</f>
        <v>131.17</v>
      </c>
      <c r="L427" s="354">
        <f t="shared" si="45"/>
        <v>-0.169999999999987</v>
      </c>
    </row>
    <row r="428" ht="21.95" customHeight="1" spans="1:12">
      <c r="A428" s="531" t="s">
        <v>861</v>
      </c>
      <c r="B428" s="532">
        <v>2052</v>
      </c>
      <c r="C428" s="533">
        <v>3077</v>
      </c>
      <c r="D428" s="528"/>
      <c r="E428" s="534"/>
      <c r="F428" s="530"/>
      <c r="K428" s="296" t="e">
        <f>VLOOKUP(G428,'[2]Sheet1 (2)'!$H:$I,2,0)</f>
        <v>#N/A</v>
      </c>
      <c r="L428" s="354" t="e">
        <f t="shared" si="45"/>
        <v>#N/A</v>
      </c>
    </row>
    <row r="429" ht="21.95" customHeight="1" spans="1:12">
      <c r="A429" s="525" t="s">
        <v>1000</v>
      </c>
      <c r="B429" s="526">
        <f>SUM(B430:B430)</f>
        <v>145</v>
      </c>
      <c r="C429" s="527">
        <f>SUM(C430:C430)</f>
        <v>217</v>
      </c>
      <c r="D429" s="528"/>
      <c r="E429" s="529"/>
      <c r="F429" s="530"/>
      <c r="G429" s="296">
        <v>2240204</v>
      </c>
      <c r="H429" s="296" t="s">
        <v>861</v>
      </c>
      <c r="I429" s="354">
        <v>3077.21</v>
      </c>
      <c r="J429" s="296">
        <f>ROUND(I429,0)</f>
        <v>3077</v>
      </c>
      <c r="K429" s="296">
        <f>VLOOKUP(G429,'[2]Sheet1 (2)'!$H:$I,2,0)</f>
        <v>3077.21</v>
      </c>
      <c r="L429" s="354">
        <f t="shared" si="45"/>
        <v>-0.210000000000036</v>
      </c>
    </row>
    <row r="430" ht="21.95" customHeight="1" spans="1:12">
      <c r="A430" s="531" t="s">
        <v>871</v>
      </c>
      <c r="B430" s="532">
        <v>145</v>
      </c>
      <c r="C430" s="533">
        <v>217</v>
      </c>
      <c r="D430" s="528"/>
      <c r="E430" s="534"/>
      <c r="F430" s="530"/>
      <c r="K430" s="296" t="e">
        <f>VLOOKUP(G430,'[2]Sheet1 (2)'!$H:$I,2,0)</f>
        <v>#N/A</v>
      </c>
      <c r="L430" s="354" t="e">
        <f t="shared" si="45"/>
        <v>#N/A</v>
      </c>
    </row>
    <row r="431" ht="21.95" customHeight="1" spans="1:12">
      <c r="A431" s="521" t="s">
        <v>881</v>
      </c>
      <c r="B431" s="559">
        <v>15000</v>
      </c>
      <c r="C431" s="522">
        <v>13000</v>
      </c>
      <c r="D431" s="523">
        <f t="shared" ref="D431:D432" si="48">ROUND((C431/B431-1)*100,2)</f>
        <v>-13.33</v>
      </c>
      <c r="E431" s="558"/>
      <c r="F431" s="541"/>
      <c r="G431" s="296">
        <v>2240602</v>
      </c>
      <c r="H431" s="296" t="s">
        <v>871</v>
      </c>
      <c r="I431" s="354">
        <v>215.82</v>
      </c>
      <c r="J431" s="296">
        <f>ROUND(I431,0)</f>
        <v>216</v>
      </c>
      <c r="K431" s="296">
        <f>VLOOKUP(G431,'[2]Sheet1 (2)'!$H:$I,2,0)</f>
        <v>215.82</v>
      </c>
      <c r="L431" s="354">
        <f t="shared" si="45"/>
        <v>1.18000000000001</v>
      </c>
    </row>
    <row r="432" ht="39" spans="1:12">
      <c r="A432" s="521" t="s">
        <v>883</v>
      </c>
      <c r="B432" s="499">
        <f>B433+B434</f>
        <v>53310</v>
      </c>
      <c r="C432" s="522">
        <f>C433+C434</f>
        <v>27239</v>
      </c>
      <c r="D432" s="523">
        <f t="shared" si="48"/>
        <v>-48.9</v>
      </c>
      <c r="E432" s="539"/>
      <c r="F432" s="497" t="s">
        <v>1001</v>
      </c>
      <c r="G432" s="296">
        <v>227</v>
      </c>
      <c r="H432" s="296" t="s">
        <v>1002</v>
      </c>
      <c r="I432" s="354">
        <v>13000</v>
      </c>
      <c r="J432" s="296">
        <f t="shared" ref="J432:J443" si="49">ROUND(I432,0)</f>
        <v>13000</v>
      </c>
      <c r="K432" s="296">
        <f>VLOOKUP(G432,'[2]Sheet1 (2)'!$H:$I,2,0)</f>
        <v>13000</v>
      </c>
      <c r="L432" s="354">
        <f t="shared" si="45"/>
        <v>0</v>
      </c>
    </row>
    <row r="433" ht="15" spans="1:12">
      <c r="A433" s="525" t="s">
        <v>887</v>
      </c>
      <c r="B433" s="556">
        <v>16859</v>
      </c>
      <c r="C433" s="527">
        <v>26639</v>
      </c>
      <c r="D433" s="528"/>
      <c r="E433" s="529"/>
      <c r="F433" s="530"/>
      <c r="G433" s="296">
        <v>2290201</v>
      </c>
      <c r="H433" s="296" t="s">
        <v>886</v>
      </c>
      <c r="I433" s="354">
        <v>7095.17960000015</v>
      </c>
      <c r="J433" s="296">
        <f t="shared" si="49"/>
        <v>7095</v>
      </c>
      <c r="K433" s="296">
        <f>VLOOKUP(G433,'[2]Sheet1 (2)'!$H:$I,2,0)</f>
        <v>26639.8896</v>
      </c>
      <c r="L433" s="354">
        <f t="shared" si="45"/>
        <v>599.110400000001</v>
      </c>
    </row>
    <row r="434" ht="21.95" customHeight="1" spans="1:12">
      <c r="A434" s="525" t="s">
        <v>890</v>
      </c>
      <c r="B434" s="556">
        <v>36451</v>
      </c>
      <c r="C434" s="527">
        <v>600</v>
      </c>
      <c r="D434" s="528"/>
      <c r="E434" s="534"/>
      <c r="F434" s="530"/>
      <c r="G434" s="296">
        <v>2302101</v>
      </c>
      <c r="H434" s="296" t="s">
        <v>892</v>
      </c>
      <c r="I434" s="354">
        <v>600</v>
      </c>
      <c r="J434" s="296">
        <f t="shared" si="49"/>
        <v>600</v>
      </c>
      <c r="K434" s="296">
        <f>VLOOKUP(G434,'[2]Sheet1 (2)'!$H:$I,2,0)</f>
        <v>600</v>
      </c>
      <c r="L434" s="354">
        <f t="shared" si="45"/>
        <v>26039</v>
      </c>
    </row>
    <row r="435" ht="21.95" customHeight="1" spans="1:12">
      <c r="A435" s="521" t="s">
        <v>893</v>
      </c>
      <c r="B435" s="499">
        <f t="shared" ref="B435:B439" si="50">B436</f>
        <v>26457</v>
      </c>
      <c r="C435" s="522">
        <f t="shared" ref="C435:C439" si="51">C436</f>
        <v>13474</v>
      </c>
      <c r="D435" s="523"/>
      <c r="E435" s="539"/>
      <c r="F435" s="524"/>
      <c r="G435" s="296">
        <v>2310301</v>
      </c>
      <c r="H435" s="296" t="s">
        <v>895</v>
      </c>
      <c r="I435" s="354">
        <v>13474</v>
      </c>
      <c r="J435" s="296">
        <f t="shared" si="49"/>
        <v>13474</v>
      </c>
      <c r="K435" s="296">
        <f>VLOOKUP(G435,'[2]Sheet1 (2)'!$H:$I,2,0)</f>
        <v>13474</v>
      </c>
      <c r="L435" s="354">
        <f t="shared" si="45"/>
        <v>-12874</v>
      </c>
    </row>
    <row r="436" ht="21.95" customHeight="1" spans="1:12">
      <c r="A436" s="525" t="s">
        <v>896</v>
      </c>
      <c r="B436" s="526">
        <f t="shared" si="50"/>
        <v>26457</v>
      </c>
      <c r="C436" s="527">
        <f t="shared" si="51"/>
        <v>13474</v>
      </c>
      <c r="D436" s="528"/>
      <c r="E436" s="529"/>
      <c r="F436" s="530"/>
      <c r="G436" s="296">
        <v>2320301</v>
      </c>
      <c r="H436" s="296" t="s">
        <v>898</v>
      </c>
      <c r="I436" s="354">
        <v>31554.1474</v>
      </c>
      <c r="J436" s="296">
        <f t="shared" si="49"/>
        <v>31554</v>
      </c>
      <c r="K436" s="296">
        <f>VLOOKUP(G436,'[2]Sheet1 (2)'!$H:$I,2,0)</f>
        <v>31554.1474</v>
      </c>
      <c r="L436" s="354">
        <f t="shared" si="45"/>
        <v>-18080.1474</v>
      </c>
    </row>
    <row r="437" ht="21.95" customHeight="1" spans="1:10">
      <c r="A437" s="531" t="s">
        <v>895</v>
      </c>
      <c r="B437" s="532">
        <v>26457</v>
      </c>
      <c r="C437" s="533">
        <v>13474</v>
      </c>
      <c r="D437" s="528"/>
      <c r="E437" s="534"/>
      <c r="F437" s="530"/>
      <c r="G437" s="502">
        <v>23303</v>
      </c>
      <c r="H437" s="502" t="s">
        <v>900</v>
      </c>
      <c r="I437" s="563">
        <v>103.59</v>
      </c>
      <c r="J437" s="296">
        <f t="shared" si="49"/>
        <v>104</v>
      </c>
    </row>
    <row r="438" ht="21.95" customHeight="1" spans="1:10">
      <c r="A438" s="521" t="s">
        <v>901</v>
      </c>
      <c r="B438" s="499">
        <f t="shared" si="50"/>
        <v>31298</v>
      </c>
      <c r="C438" s="522">
        <f t="shared" si="51"/>
        <v>31554</v>
      </c>
      <c r="D438" s="523">
        <f>ROUND((C438/B438-1)*100,2)</f>
        <v>0.82</v>
      </c>
      <c r="E438" s="539"/>
      <c r="F438" s="524"/>
      <c r="J438" s="296">
        <f t="shared" si="49"/>
        <v>0</v>
      </c>
    </row>
    <row r="439" ht="21.95" customHeight="1" spans="1:10">
      <c r="A439" s="525" t="s">
        <v>902</v>
      </c>
      <c r="B439" s="526">
        <f t="shared" si="50"/>
        <v>31298</v>
      </c>
      <c r="C439" s="527">
        <f t="shared" si="51"/>
        <v>31554</v>
      </c>
      <c r="D439" s="528"/>
      <c r="E439" s="529"/>
      <c r="F439" s="530"/>
      <c r="G439" s="502"/>
      <c r="H439" s="502"/>
      <c r="I439" s="563"/>
      <c r="J439" s="296">
        <f t="shared" si="49"/>
        <v>0</v>
      </c>
    </row>
    <row r="440" ht="21.95" customHeight="1" spans="1:10">
      <c r="A440" s="531" t="s">
        <v>898</v>
      </c>
      <c r="B440" s="532">
        <v>31298</v>
      </c>
      <c r="C440" s="533">
        <v>31554</v>
      </c>
      <c r="D440" s="528"/>
      <c r="E440" s="534"/>
      <c r="F440" s="530"/>
      <c r="J440" s="296">
        <f t="shared" si="49"/>
        <v>0</v>
      </c>
    </row>
    <row r="441" ht="21.95" customHeight="1" spans="1:10">
      <c r="A441" s="560" t="s">
        <v>903</v>
      </c>
      <c r="B441" s="559">
        <v>165</v>
      </c>
      <c r="C441" s="522">
        <v>104</v>
      </c>
      <c r="D441" s="561"/>
      <c r="E441" s="558"/>
      <c r="F441" s="541"/>
      <c r="J441" s="296">
        <f t="shared" si="49"/>
        <v>0</v>
      </c>
    </row>
    <row r="442" ht="21.95" customHeight="1" spans="1:10">
      <c r="A442" s="562" t="s">
        <v>1003</v>
      </c>
      <c r="B442" s="522">
        <f>B5+B102+B107+B126+B151+B165+B188+B261+B304+B311+B323+B376+B381+B386+B396+B416+B419+B431+B432+B438+B441+B412+B435</f>
        <v>929700</v>
      </c>
      <c r="C442" s="522">
        <f>C5+C102+C107+C126+C151+C165+C188+C261+C304+C311+C323+C376+C381+C386+C396+C416+C419+C431+C432+C438+C441+C412+C435+C393</f>
        <v>837100</v>
      </c>
      <c r="D442" s="523">
        <f>ROUND((C442/B442-1)*100,2)</f>
        <v>-9.96</v>
      </c>
      <c r="E442" s="522">
        <f>E5+E102+E107+E126+E151+E165+E188+E261+E304+E311+E323+E376+E381+E386+E396+E416+E419+E431+E432+E438+E441+E412+E435</f>
        <v>83490</v>
      </c>
      <c r="F442" s="530"/>
      <c r="J442" s="296">
        <f t="shared" si="49"/>
        <v>0</v>
      </c>
    </row>
    <row r="443" ht="21.95" customHeight="1" spans="10:10">
      <c r="J443" s="296">
        <f t="shared" si="49"/>
        <v>0</v>
      </c>
    </row>
    <row r="444" spans="10:10">
      <c r="J444" s="296">
        <f t="shared" ref="J444:J447" si="52">ROUND(I444,0)</f>
        <v>0</v>
      </c>
    </row>
    <row r="445" spans="10:10">
      <c r="J445" s="296">
        <f t="shared" si="52"/>
        <v>0</v>
      </c>
    </row>
    <row r="446" spans="10:10">
      <c r="J446" s="296">
        <f t="shared" si="52"/>
        <v>0</v>
      </c>
    </row>
    <row r="447" spans="10:10">
      <c r="J447" s="296">
        <f t="shared" si="52"/>
        <v>0</v>
      </c>
    </row>
    <row r="480" ht="13" spans="15:16">
      <c r="O480" s="313"/>
      <c r="P480" s="313"/>
    </row>
  </sheetData>
  <autoFilter ref="A4:K447">
    <extLst/>
  </autoFilter>
  <mergeCells count="1">
    <mergeCell ref="A2:F2"/>
  </mergeCells>
  <printOptions horizontalCentered="1"/>
  <pageMargins left="0.432638888888889" right="0.472222222222222" top="0.786805555555556" bottom="0.786805555555556" header="0.511805555555556" footer="0.590277777777778"/>
  <pageSetup paperSize="9" firstPageNumber="23" orientation="portrait" useFirstPageNumber="1" horizontalDpi="600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32</vt:i4>
      </vt:variant>
    </vt:vector>
  </HeadingPairs>
  <TitlesOfParts>
    <vt:vector size="32" baseType="lpstr">
      <vt:lpstr>总封面</vt:lpstr>
      <vt:lpstr>总目录</vt:lpstr>
      <vt:lpstr>公共预算封面</vt:lpstr>
      <vt:lpstr>公共预算目录</vt:lpstr>
      <vt:lpstr>表一2023年收入预算（分单位） (8%)</vt:lpstr>
      <vt:lpstr>表二2023年公共预算支出表 （项级）</vt:lpstr>
      <vt:lpstr>表三2023年公共预算经济分类执行情况</vt:lpstr>
      <vt:lpstr>表四2024年收入预算 </vt:lpstr>
      <vt:lpstr>表五2024年预算支出情况（项级）</vt:lpstr>
      <vt:lpstr>表六2024年一般公共预算经济分类支出表 (2)</vt:lpstr>
      <vt:lpstr>表七基本支出经济分类 </vt:lpstr>
      <vt:lpstr>表八三保支出预算情况表  </vt:lpstr>
      <vt:lpstr>表九三保支出预算财力安排情况表 </vt:lpstr>
      <vt:lpstr>政府性基金预算封面</vt:lpstr>
      <vt:lpstr>基金目录</vt:lpstr>
      <vt:lpstr>表一2023年基金收入预算</vt:lpstr>
      <vt:lpstr>表二2023年基金支出预算</vt:lpstr>
      <vt:lpstr>表三2024年基金收入预算</vt:lpstr>
      <vt:lpstr>表四2024年基金支出预算</vt:lpstr>
      <vt:lpstr>国有资本经营预算封面</vt:lpstr>
      <vt:lpstr>2023国有资经营预算目录</vt:lpstr>
      <vt:lpstr>表一2024国有资本经营预算收支总表</vt:lpstr>
      <vt:lpstr>表二2024国有资本经营预算收入表</vt:lpstr>
      <vt:lpstr>表三2024国有资本经营预算支出表</vt:lpstr>
      <vt:lpstr>表四2024国有资本经营预算支出项目表</vt:lpstr>
      <vt:lpstr>表五2024年国有资本经营预算补充表</vt:lpstr>
      <vt:lpstr>社保基金封面</vt:lpstr>
      <vt:lpstr>社保基金目录</vt:lpstr>
      <vt:lpstr>表一预算总表</vt:lpstr>
      <vt:lpstr>表二居民养老保险</vt:lpstr>
      <vt:lpstr>表三机关事业社会养老保险基金预算表</vt:lpstr>
      <vt:lpstr>表四社保基金基础表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洪清流/洪清流</dc:creator>
  <cp:lastModifiedBy>陈铭</cp:lastModifiedBy>
  <dcterms:created xsi:type="dcterms:W3CDTF">2012-11-22T13:45:00Z</dcterms:created>
  <cp:lastPrinted>2023-12-21T13:31:00Z</cp:lastPrinted>
  <dcterms:modified xsi:type="dcterms:W3CDTF">2023-12-23T13:56:56Z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6028CAF373D344A0A4DB6AF106603307_13</vt:lpwstr>
  </property>
</Properties>
</file>